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1055" windowHeight="8865" tabRatio="671" activeTab="1"/>
  </bookViews>
  <sheets>
    <sheet name="Friction Losses" sheetId="1" r:id="rId1"/>
    <sheet name="Head Vs. Flow " sheetId="2" r:id="rId2"/>
    <sheet name="Pipe Loss Regression" sheetId="3" r:id="rId3"/>
    <sheet name="Pipe analysis" sheetId="4" r:id="rId4"/>
    <sheet name="Sample Turbines" sheetId="5" r:id="rId5"/>
  </sheets>
  <definedNames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'Pipe analysis'!#REF!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1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<sst xmlns="http://schemas.openxmlformats.org/spreadsheetml/2006/main" count="261" uniqueCount="173">
  <si>
    <t>cfs</t>
  </si>
  <si>
    <t xml:space="preserve"> </t>
  </si>
  <si>
    <t xml:space="preserve">Gross head </t>
  </si>
  <si>
    <t xml:space="preserve">feet </t>
  </si>
  <si>
    <t>pipe length</t>
  </si>
  <si>
    <t xml:space="preserve">90 degree bends </t>
  </si>
  <si>
    <t xml:space="preserve">flow </t>
  </si>
  <si>
    <t xml:space="preserve">square feet </t>
  </si>
  <si>
    <t>ft/sec</t>
  </si>
  <si>
    <t xml:space="preserve">Pipe loss Table </t>
  </si>
  <si>
    <t xml:space="preserve">ft/sec </t>
  </si>
  <si>
    <t xml:space="preserve">Entrance head loss </t>
  </si>
  <si>
    <t>k</t>
  </si>
  <si>
    <t xml:space="preserve">Trash rack loss </t>
  </si>
  <si>
    <t>Butterfly valves</t>
  </si>
  <si>
    <t xml:space="preserve">Entrance condition </t>
  </si>
  <si>
    <t xml:space="preserve">45 degree bends </t>
  </si>
  <si>
    <t xml:space="preserve">net head </t>
  </si>
  <si>
    <t xml:space="preserve">total </t>
  </si>
  <si>
    <t>Pipe Area</t>
  </si>
  <si>
    <t xml:space="preserve">Total K </t>
  </si>
  <si>
    <t>Pipe loss</t>
  </si>
  <si>
    <t>kW</t>
  </si>
  <si>
    <t>v^2/2g</t>
  </si>
  <si>
    <t>feet</t>
  </si>
  <si>
    <t>constant</t>
  </si>
  <si>
    <t xml:space="preserve">Rock Creek Retrofit Project </t>
  </si>
  <si>
    <t xml:space="preserve">draft tube </t>
  </si>
  <si>
    <t xml:space="preserve">draft tube recover eff. </t>
  </si>
  <si>
    <t>Pipe</t>
  </si>
  <si>
    <t>Draft tube</t>
  </si>
  <si>
    <t>exit v^2/2g</t>
  </si>
  <si>
    <t>Exit</t>
  </si>
  <si>
    <t>K. energy</t>
  </si>
  <si>
    <t>loss+</t>
  </si>
  <si>
    <t xml:space="preserve"> exit K.E. </t>
  </si>
  <si>
    <t>feet - 30"</t>
  </si>
  <si>
    <t xml:space="preserve">rough filleted </t>
  </si>
  <si>
    <t>velocity</t>
  </si>
  <si>
    <t>30 " steel pipe</t>
  </si>
  <si>
    <t>ft loss/100'</t>
  </si>
  <si>
    <t>efficiency</t>
  </si>
  <si>
    <t>gen</t>
  </si>
  <si>
    <t>gear</t>
  </si>
  <si>
    <t>turbine</t>
  </si>
  <si>
    <t xml:space="preserve">net efficiency </t>
  </si>
  <si>
    <t xml:space="preserve">Turbine efficiency </t>
  </si>
  <si>
    <t>Estimation  w/w</t>
  </si>
  <si>
    <t>estimated</t>
  </si>
  <si>
    <t xml:space="preserve">assumed pipe diameter </t>
  </si>
  <si>
    <t>feet  - max</t>
  </si>
  <si>
    <t xml:space="preserve">Draft tube exit area </t>
  </si>
  <si>
    <t>including static and velocity head</t>
  </si>
  <si>
    <t>from table</t>
  </si>
  <si>
    <t xml:space="preserve">(check measurement basis) </t>
  </si>
  <si>
    <t>including control valve</t>
  </si>
  <si>
    <t xml:space="preserve"> Butterfly  v. losses </t>
  </si>
  <si>
    <t>Cv</t>
  </si>
  <si>
    <t xml:space="preserve">butterfly </t>
  </si>
  <si>
    <t>loss</t>
  </si>
  <si>
    <t>Double</t>
  </si>
  <si>
    <t>Bifurcation loss</t>
  </si>
  <si>
    <t xml:space="preserve">45 degree elbow  loss </t>
  </si>
  <si>
    <t xml:space="preserve">Assumed water-wire </t>
  </si>
  <si>
    <t>assuming inclusive of control valve</t>
  </si>
  <si>
    <t>cfs -exactly</t>
  </si>
  <si>
    <t>cfs - exactly</t>
  </si>
  <si>
    <t xml:space="preserve">Flow </t>
  </si>
  <si>
    <t>Duration</t>
  </si>
  <si>
    <t xml:space="preserve">Crane - 30" 200 series </t>
  </si>
  <si>
    <t>Intercept</t>
  </si>
  <si>
    <t xml:space="preserve"> (k)  losses</t>
  </si>
  <si>
    <t>Cameron Hydraulic Data  by Ing. Rand Page 3-113</t>
  </si>
  <si>
    <t>Cameron Hydraulic Data  by Ing. Rand Page 3-114</t>
  </si>
  <si>
    <t>Includes:</t>
  </si>
  <si>
    <t>head</t>
  </si>
  <si>
    <t>Entrance Loss</t>
  </si>
  <si>
    <t>FLOW</t>
  </si>
  <si>
    <t xml:space="preserve">Pipe Exit total gross head </t>
  </si>
  <si>
    <t>***********************************************************************************************************</t>
  </si>
  <si>
    <t xml:space="preserve">Straight  Pipe  Analysis </t>
  </si>
  <si>
    <t>Study of the Existing Exit</t>
  </si>
  <si>
    <t>Cv derived</t>
  </si>
  <si>
    <t xml:space="preserve">water height </t>
  </si>
  <si>
    <t xml:space="preserve">note  head to centerline </t>
  </si>
  <si>
    <t>tailwater</t>
  </si>
  <si>
    <t xml:space="preserve">gross head </t>
  </si>
  <si>
    <t>tail water</t>
  </si>
  <si>
    <t xml:space="preserve">head </t>
  </si>
  <si>
    <t xml:space="preserve">gross feet of head </t>
  </si>
  <si>
    <t xml:space="preserve">entrance, +  2    45 degree elboes </t>
  </si>
  <si>
    <t xml:space="preserve">cfs </t>
  </si>
  <si>
    <t>Pipe head</t>
  </si>
  <si>
    <t xml:space="preserve">Filleted Radius </t>
  </si>
  <si>
    <t xml:space="preserve">Probably High </t>
  </si>
  <si>
    <t>OK for small valves</t>
  </si>
  <si>
    <t xml:space="preserve">Ignorred </t>
  </si>
  <si>
    <t>Trash Rack Loss</t>
  </si>
  <si>
    <t>Pipe Length</t>
  </si>
  <si>
    <t>drop to exit pipe</t>
  </si>
  <si>
    <t>net head after friction</t>
  </si>
  <si>
    <t>Total head friction loss</t>
  </si>
  <si>
    <t>k of .25 loss</t>
  </si>
  <si>
    <t xml:space="preserve">assumes 28.75" inside diameter 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</si>
  <si>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</si>
  <si>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</si>
  <si>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</si>
  <si>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</si>
  <si>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</si>
  <si>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</si>
  <si>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</si>
  <si>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</si>
  <si>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</si>
  <si>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</si>
  <si>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</si>
  <si>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</si>
  <si>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</si>
  <si>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</si>
  <si>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</si>
  <si>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</si>
  <si>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</si>
  <si>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</si>
  <si>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</si>
  <si>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</si>
  <si>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</si>
  <si>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</si>
  <si>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</si>
  <si>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</si>
  <si>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Pipe Loss for 73' + 17% for rust</t>
  </si>
  <si>
    <t>centerline correction</t>
  </si>
  <si>
    <t>calculated</t>
  </si>
  <si>
    <t>by regression</t>
  </si>
  <si>
    <t>for 100'</t>
  </si>
  <si>
    <t>inches  nominal  28.75 ID</t>
  </si>
  <si>
    <t xml:space="preserve">Loss with </t>
  </si>
  <si>
    <t>vel^2</t>
  </si>
  <si>
    <t xml:space="preserve">exit elevation (checked) </t>
  </si>
  <si>
    <t>in feet</t>
  </si>
  <si>
    <t>2 Butterfly valves</t>
  </si>
  <si>
    <t>Double Butterfly loss</t>
  </si>
  <si>
    <t>Total  k type losses</t>
  </si>
  <si>
    <t>balance head at  output orifice</t>
  </si>
  <si>
    <t>New Steel Pipe</t>
  </si>
  <si>
    <t>drop left plus exit velocity</t>
  </si>
  <si>
    <t>v^2</t>
  </si>
  <si>
    <t>efficiency &gt;</t>
  </si>
  <si>
    <t xml:space="preserve">kW &gt; </t>
  </si>
  <si>
    <t>flow</t>
  </si>
  <si>
    <t>v for 30"</t>
  </si>
  <si>
    <t>loss in feet</t>
  </si>
  <si>
    <t>of head</t>
  </si>
  <si>
    <t xml:space="preserve">Hydro </t>
  </si>
  <si>
    <t>&lt;&lt;&lt;&lt;&lt;-----</t>
  </si>
  <si>
    <t xml:space="preserve">foot - trash rack loss ( measured) </t>
  </si>
  <si>
    <t xml:space="preserve">from crane </t>
  </si>
  <si>
    <t xml:space="preserve">Crane - 30" 200 series use for </t>
  </si>
  <si>
    <t xml:space="preserve">ELY estimate </t>
  </si>
  <si>
    <t>Cameron Hydraulic Data  by Ing. Rand Page 3-113 -  each</t>
  </si>
  <si>
    <t>(Alternate)Double Butterfly loss</t>
  </si>
  <si>
    <t xml:space="preserve">square edges on outward curved surface </t>
  </si>
  <si>
    <t>90 degree loss</t>
  </si>
  <si>
    <t>expected to vary from 6" to 2'</t>
  </si>
  <si>
    <t>Oper Pt.</t>
  </si>
  <si>
    <t>Max</t>
  </si>
  <si>
    <t>(From PG&amp;E)</t>
  </si>
  <si>
    <t>Head</t>
  </si>
  <si>
    <t>assuming 100% draft tube efficiency (see calcs)</t>
  </si>
  <si>
    <t>entrance, bifrucation, 45 elboe</t>
  </si>
  <si>
    <t xml:space="preserve">Sample 36" Fancis </t>
  </si>
  <si>
    <t>17 % rust for</t>
  </si>
  <si>
    <t>Equal Power curves for plotting - includes Efficiency</t>
  </si>
  <si>
    <t>2 valves</t>
  </si>
  <si>
    <t>updated 2/5/05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</si>
</sst>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0.000%"/>
    <numFmt numFmtId="169" formatCode="0.0%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0000_);_(* \(#,##0.000000\);_(* &quot;-&quot;??_);_(@_)"/>
    <numFmt numFmtId="174" formatCode="_(* #,##0.0000000_);_(* \(#,##0.0000000\);_(* &quot;-&quot;??_);_(@_)"/>
    <numFmt numFmtId="175" formatCode="_(* #,##0.00000000_);_(* \(#,##0.00000000\);_(* &quot;-&quot;??_);_(@_)"/>
    <numFmt numFmtId="176" formatCode="_(* #,##0.0_);_(* \(#,##0.0\);_(* &quot;-&quot;??_);_(@_)"/>
    <numFmt numFmtId="177" formatCode="_(* #,##0_);_(* \(#,##0\);_(* &quot;-&quot;??_);_(@_)"/>
    <numFmt numFmtId="178" formatCode="0.0000000"/>
    <numFmt numFmtId="179" formatCode="0.000000"/>
    <numFmt numFmtId="180" formatCode="0.00000000000"/>
    <numFmt numFmtId="181" formatCode="0.000000000000"/>
    <numFmt numFmtId="182" formatCode="0.0000000000000"/>
    <numFmt numFmtId="183" formatCode="0.0000000000"/>
    <numFmt numFmtId="184" formatCode="0.000000000"/>
    <numFmt numFmtId="185" formatCode="0.00000000"/>
  </numFmts>
  <fonts count="21">
    <font>
      <sz val="10"/>
      <name val="Arial"/>
      <family val="0"/>
    </font>
    <font>
      <sz val="10"/>
      <color indexed="52"/>
      <name val="Arial"/>
      <family val="2"/>
    </font>
    <font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0"/>
    </font>
    <font>
      <b/>
      <sz val="13.75"/>
      <name val="Arial"/>
      <family val="2"/>
    </font>
    <font>
      <sz val="11.75"/>
      <name val="Arial"/>
      <family val="2"/>
    </font>
    <font>
      <sz val="17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7.25"/>
      <name val="Arial"/>
      <family val="0"/>
    </font>
    <font>
      <sz val="17.75"/>
      <name val="Arial"/>
      <family val="0"/>
    </font>
    <font>
      <b/>
      <sz val="9"/>
      <name val="Arial"/>
      <family val="2"/>
    </font>
    <font>
      <sz val="6.5"/>
      <name val="Arial"/>
      <family val="2"/>
    </font>
    <font>
      <sz val="10"/>
      <color indexed="10"/>
      <name val="Arial"/>
      <family val="2"/>
    </font>
    <font>
      <sz val="10"/>
      <color indexed="15"/>
      <name val="Arial"/>
      <family val="2"/>
    </font>
    <font>
      <sz val="8.25"/>
      <name val="Arial"/>
      <family val="2"/>
    </font>
    <font>
      <b/>
      <sz val="18.75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0" fontId="0" fillId="4" borderId="0" xfId="0" applyFill="1" applyAlignment="1">
      <alignment/>
    </xf>
    <xf numFmtId="1" fontId="0" fillId="4" borderId="0" xfId="0" applyNumberForma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164" fontId="0" fillId="0" borderId="8" xfId="0" applyNumberFormat="1" applyBorder="1" applyAlignment="1">
      <alignment/>
    </xf>
    <xf numFmtId="1" fontId="0" fillId="4" borderId="9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0" xfId="0" applyFill="1" applyBorder="1" applyAlignment="1">
      <alignment/>
    </xf>
    <xf numFmtId="164" fontId="0" fillId="0" borderId="0" xfId="0" applyNumberFormat="1" applyBorder="1" applyAlignment="1">
      <alignment/>
    </xf>
    <xf numFmtId="1" fontId="0" fillId="4" borderId="2" xfId="0" applyNumberFormat="1" applyFill="1" applyBorder="1" applyAlignment="1">
      <alignment/>
    </xf>
    <xf numFmtId="0" fontId="0" fillId="4" borderId="3" xfId="0" applyFill="1" applyBorder="1" applyAlignment="1">
      <alignment/>
    </xf>
    <xf numFmtId="0" fontId="0" fillId="4" borderId="10" xfId="0" applyFill="1" applyBorder="1" applyAlignment="1">
      <alignment/>
    </xf>
    <xf numFmtId="164" fontId="0" fillId="0" borderId="10" xfId="0" applyNumberFormat="1" applyBorder="1" applyAlignment="1">
      <alignment/>
    </xf>
    <xf numFmtId="1" fontId="0" fillId="4" borderId="4" xfId="0" applyNumberFormat="1" applyFill="1" applyBorder="1" applyAlignment="1">
      <alignment/>
    </xf>
    <xf numFmtId="0" fontId="0" fillId="2" borderId="11" xfId="0" applyFill="1" applyBorder="1" applyAlignment="1">
      <alignment/>
    </xf>
    <xf numFmtId="0" fontId="0" fillId="0" borderId="0" xfId="0" applyFill="1" applyAlignment="1">
      <alignment/>
    </xf>
    <xf numFmtId="9" fontId="0" fillId="5" borderId="0" xfId="0" applyNumberFormat="1" applyFill="1" applyAlignment="1">
      <alignment/>
    </xf>
    <xf numFmtId="9" fontId="0" fillId="5" borderId="12" xfId="0" applyNumberFormat="1" applyFill="1" applyBorder="1" applyAlignment="1">
      <alignment/>
    </xf>
    <xf numFmtId="0" fontId="0" fillId="5" borderId="0" xfId="0" applyFill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164" fontId="1" fillId="0" borderId="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3" xfId="0" applyFont="1" applyFill="1" applyBorder="1" applyAlignment="1">
      <alignment horizontal="centerContinuous"/>
    </xf>
    <xf numFmtId="177" fontId="0" fillId="0" borderId="0" xfId="15" applyNumberForma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164" fontId="0" fillId="4" borderId="0" xfId="0" applyNumberFormat="1" applyFill="1" applyAlignment="1">
      <alignment/>
    </xf>
    <xf numFmtId="10" fontId="4" fillId="0" borderId="0" xfId="0" applyNumberFormat="1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164" fontId="1" fillId="2" borderId="0" xfId="0" applyNumberFormat="1" applyFont="1" applyFill="1" applyAlignment="1">
      <alignment/>
    </xf>
    <xf numFmtId="0" fontId="0" fillId="3" borderId="14" xfId="0" applyFill="1" applyBorder="1" applyAlignment="1">
      <alignment/>
    </xf>
    <xf numFmtId="0" fontId="2" fillId="0" borderId="13" xfId="0" applyFont="1" applyFill="1" applyBorder="1" applyAlignment="1">
      <alignment horizontal="center"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 wrapText="1"/>
    </xf>
    <xf numFmtId="0" fontId="0" fillId="6" borderId="0" xfId="0" applyFill="1" applyAlignment="1">
      <alignment/>
    </xf>
    <xf numFmtId="164" fontId="0" fillId="6" borderId="0" xfId="0" applyNumberFormat="1" applyFill="1" applyBorder="1" applyAlignment="1">
      <alignment/>
    </xf>
    <xf numFmtId="0" fontId="5" fillId="0" borderId="0" xfId="0" applyFont="1" applyAlignment="1">
      <alignment/>
    </xf>
    <xf numFmtId="0" fontId="5" fillId="4" borderId="0" xfId="0" applyFont="1" applyFill="1" applyAlignment="1">
      <alignment/>
    </xf>
    <xf numFmtId="164" fontId="5" fillId="0" borderId="0" xfId="0" applyNumberFormat="1" applyFont="1" applyAlignment="1">
      <alignment/>
    </xf>
    <xf numFmtId="164" fontId="5" fillId="2" borderId="0" xfId="0" applyNumberFormat="1" applyFont="1" applyFill="1" applyAlignment="1">
      <alignment/>
    </xf>
    <xf numFmtId="164" fontId="5" fillId="4" borderId="0" xfId="0" applyNumberFormat="1" applyFont="1" applyFill="1" applyAlignment="1">
      <alignment/>
    </xf>
    <xf numFmtId="164" fontId="0" fillId="0" borderId="0" xfId="0" applyNumberFormat="1" applyAlignment="1">
      <alignment wrapText="1"/>
    </xf>
    <xf numFmtId="0" fontId="11" fillId="0" borderId="0" xfId="0" applyFont="1" applyAlignment="1">
      <alignment/>
    </xf>
    <xf numFmtId="0" fontId="0" fillId="7" borderId="0" xfId="0" applyFill="1" applyAlignment="1">
      <alignment/>
    </xf>
    <xf numFmtId="164" fontId="0" fillId="7" borderId="0" xfId="0" applyNumberFormat="1" applyFill="1" applyBorder="1" applyAlignment="1">
      <alignment horizontal="right"/>
    </xf>
    <xf numFmtId="164" fontId="0" fillId="7" borderId="0" xfId="0" applyNumberFormat="1" applyFill="1" applyBorder="1" applyAlignment="1">
      <alignment/>
    </xf>
    <xf numFmtId="164" fontId="0" fillId="7" borderId="0" xfId="0" applyNumberFormat="1" applyFill="1" applyAlignment="1">
      <alignment/>
    </xf>
    <xf numFmtId="169" fontId="0" fillId="0" borderId="0" xfId="0" applyNumberFormat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177" fontId="0" fillId="2" borderId="9" xfId="15" applyNumberFormat="1" applyFill="1" applyBorder="1" applyAlignment="1">
      <alignment/>
    </xf>
    <xf numFmtId="0" fontId="0" fillId="2" borderId="0" xfId="0" applyFill="1" applyBorder="1" applyAlignment="1">
      <alignment/>
    </xf>
    <xf numFmtId="177" fontId="0" fillId="2" borderId="2" xfId="15" applyNumberFormat="1" applyFill="1" applyBorder="1" applyAlignment="1">
      <alignment/>
    </xf>
    <xf numFmtId="0" fontId="0" fillId="2" borderId="10" xfId="0" applyFill="1" applyBorder="1" applyAlignment="1">
      <alignment/>
    </xf>
    <xf numFmtId="177" fontId="0" fillId="2" borderId="4" xfId="15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0" fontId="0" fillId="0" borderId="0" xfId="0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8" borderId="0" xfId="0" applyFill="1" applyAlignment="1">
      <alignment/>
    </xf>
    <xf numFmtId="0" fontId="17" fillId="8" borderId="0" xfId="0" applyFont="1" applyFill="1" applyAlignment="1">
      <alignment/>
    </xf>
    <xf numFmtId="169" fontId="0" fillId="7" borderId="0" xfId="19" applyNumberFormat="1" applyFill="1" applyAlignment="1">
      <alignment horizontal="right"/>
    </xf>
    <xf numFmtId="0" fontId="0" fillId="9" borderId="0" xfId="0" applyFill="1" applyAlignment="1">
      <alignment/>
    </xf>
    <xf numFmtId="164" fontId="0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Feet of Friction loss / 100 feet of pipe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'Pipe analysis'!$L$7</c:f>
              <c:strCache>
                <c:ptCount val="1"/>
                <c:pt idx="0">
                  <c:v>ft loss/100'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'Pipe analysis'!$K$8:$K$22</c:f>
              <c:numCache>
                <c:ptCount val="15"/>
                <c:pt idx="0">
                  <c:v>10.9</c:v>
                </c:pt>
                <c:pt idx="1">
                  <c:v>11.9</c:v>
                </c:pt>
                <c:pt idx="2">
                  <c:v>12.9</c:v>
                </c:pt>
                <c:pt idx="3">
                  <c:v>13.8</c:v>
                </c:pt>
                <c:pt idx="4">
                  <c:v>14.8</c:v>
                </c:pt>
                <c:pt idx="5">
                  <c:v>17.3</c:v>
                </c:pt>
                <c:pt idx="6">
                  <c:v>19.8</c:v>
                </c:pt>
                <c:pt idx="7">
                  <c:v>22.2</c:v>
                </c:pt>
                <c:pt idx="8">
                  <c:v>24.7</c:v>
                </c:pt>
                <c:pt idx="9">
                  <c:v>27.2</c:v>
                </c:pt>
                <c:pt idx="10">
                  <c:v>29.7</c:v>
                </c:pt>
                <c:pt idx="11">
                  <c:v>32.1</c:v>
                </c:pt>
                <c:pt idx="12">
                  <c:v>34.6</c:v>
                </c:pt>
                <c:pt idx="13">
                  <c:v>37.1</c:v>
                </c:pt>
                <c:pt idx="14">
                  <c:v>39.5</c:v>
                </c:pt>
              </c:numCache>
            </c:numRef>
          </c:xVal>
          <c:yVal>
            <c:numRef>
              <c:f>'Pipe analysis'!$L$8:$L$22</c:f>
              <c:numCache>
                <c:ptCount val="15"/>
                <c:pt idx="0">
                  <c:v>0.926</c:v>
                </c:pt>
                <c:pt idx="1">
                  <c:v>1.1</c:v>
                </c:pt>
                <c:pt idx="2">
                  <c:v>1.28</c:v>
                </c:pt>
                <c:pt idx="3">
                  <c:v>1.48</c:v>
                </c:pt>
                <c:pt idx="4">
                  <c:v>1.69</c:v>
                </c:pt>
                <c:pt idx="5">
                  <c:v>2.29</c:v>
                </c:pt>
                <c:pt idx="6">
                  <c:v>2.97</c:v>
                </c:pt>
                <c:pt idx="7">
                  <c:v>3.75</c:v>
                </c:pt>
                <c:pt idx="8">
                  <c:v>4.61</c:v>
                </c:pt>
                <c:pt idx="9">
                  <c:v>5.56</c:v>
                </c:pt>
                <c:pt idx="10">
                  <c:v>6.6</c:v>
                </c:pt>
                <c:pt idx="11">
                  <c:v>7.73</c:v>
                </c:pt>
                <c:pt idx="12">
                  <c:v>8.95</c:v>
                </c:pt>
                <c:pt idx="13">
                  <c:v>10.3</c:v>
                </c:pt>
                <c:pt idx="14">
                  <c:v>11.7</c:v>
                </c:pt>
              </c:numCache>
            </c:numRef>
          </c:yVal>
          <c:smooth val="1"/>
        </c:ser>
        <c:axId val="48924512"/>
        <c:axId val="37667425"/>
      </c:scatterChart>
      <c:valAx>
        <c:axId val="48924512"/>
        <c:scaling>
          <c:orientation val="minMax"/>
          <c:max val="4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7667425"/>
        <c:crosses val="autoZero"/>
        <c:crossBetween val="midCat"/>
        <c:dispUnits/>
        <c:majorUnit val="1"/>
        <c:minorUnit val="0.5"/>
      </c:valAx>
      <c:valAx>
        <c:axId val="37667425"/>
        <c:scaling>
          <c:orientation val="minMax"/>
          <c:max val="12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Feet  of loss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out"/>
        <c:tickLblPos val="nextTo"/>
        <c:crossAx val="48924512"/>
        <c:crosses val="autoZero"/>
        <c:crossBetween val="midCat"/>
        <c:dispUnits/>
        <c:majorUnit val="1"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Net Head  Vs. Flow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'Pipe analysis'!$D$32:$D$42</c:f>
              <c:numCache>
                <c:ptCount val="11"/>
                <c:pt idx="0">
                  <c:v>180</c:v>
                </c:pt>
                <c:pt idx="1">
                  <c:v>170</c:v>
                </c:pt>
                <c:pt idx="2">
                  <c:v>160</c:v>
                </c:pt>
                <c:pt idx="3">
                  <c:v>150</c:v>
                </c:pt>
                <c:pt idx="4">
                  <c:v>140</c:v>
                </c:pt>
                <c:pt idx="5">
                  <c:v>130</c:v>
                </c:pt>
                <c:pt idx="6">
                  <c:v>120</c:v>
                </c:pt>
                <c:pt idx="7">
                  <c:v>110</c:v>
                </c:pt>
                <c:pt idx="8">
                  <c:v>100</c:v>
                </c:pt>
                <c:pt idx="9">
                  <c:v>90</c:v>
                </c:pt>
                <c:pt idx="10">
                  <c:v>80</c:v>
                </c:pt>
              </c:numCache>
            </c:numRef>
          </c:xVal>
          <c:yVal>
            <c:numRef>
              <c:f>'Pipe analysis'!$P$32:$P$42</c:f>
              <c:numCache>
                <c:ptCount val="11"/>
                <c:pt idx="0">
                  <c:v>34.611361295228235</c:v>
                </c:pt>
                <c:pt idx="1">
                  <c:v>40.254424118274585</c:v>
                </c:pt>
                <c:pt idx="2">
                  <c:v>45.57502620857541</c:v>
                </c:pt>
                <c:pt idx="3">
                  <c:v>50.57316756613073</c:v>
                </c:pt>
                <c:pt idx="4">
                  <c:v>55.24884819094055</c:v>
                </c:pt>
                <c:pt idx="5">
                  <c:v>59.60206808300484</c:v>
                </c:pt>
                <c:pt idx="6">
                  <c:v>63.63282724232366</c:v>
                </c:pt>
                <c:pt idx="7">
                  <c:v>67.34112566889698</c:v>
                </c:pt>
                <c:pt idx="8">
                  <c:v>70.72696336272475</c:v>
                </c:pt>
                <c:pt idx="9">
                  <c:v>73.79034032380704</c:v>
                </c:pt>
                <c:pt idx="10">
                  <c:v>76.53125655214386</c:v>
                </c:pt>
              </c:numCache>
            </c:numRef>
          </c:yVal>
          <c:smooth val="1"/>
        </c:ser>
        <c:ser>
          <c:idx val="1"/>
          <c:order val="1"/>
          <c:tx>
            <c:v>500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'Pipe analysis'!$T$32:$T$40</c:f>
              <c:numCache>
                <c:ptCount val="9"/>
                <c:pt idx="0">
                  <c:v>42.41822687182999</c:v>
                </c:pt>
                <c:pt idx="1">
                  <c:v>44.91341668781999</c:v>
                </c:pt>
                <c:pt idx="2">
                  <c:v>47.72050523080874</c:v>
                </c:pt>
                <c:pt idx="3">
                  <c:v>50.90187224619599</c:v>
                </c:pt>
                <c:pt idx="4">
                  <c:v>54.53772026378142</c:v>
                </c:pt>
                <c:pt idx="5">
                  <c:v>58.73292951484153</c:v>
                </c:pt>
                <c:pt idx="6">
                  <c:v>63.62734030774499</c:v>
                </c:pt>
                <c:pt idx="7">
                  <c:v>69.41164397208544</c:v>
                </c:pt>
                <c:pt idx="8">
                  <c:v>76.352808369294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1"/>
        </c:ser>
        <c:axId val="3462506"/>
        <c:axId val="31162555"/>
      </c:scatterChart>
      <c:valAx>
        <c:axId val="3462506"/>
        <c:scaling>
          <c:orientation val="minMax"/>
          <c:max val="120"/>
          <c:min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Flow in CFS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31162555"/>
        <c:crossesAt val="0"/>
        <c:crossBetween val="midCat"/>
        <c:dispUnits/>
        <c:majorUnit val="10"/>
        <c:minorUnit val="5"/>
      </c:valAx>
      <c:valAx>
        <c:axId val="31162555"/>
        <c:scaling>
          <c:orientation val="minMax"/>
          <c:max val="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Net Head at Turbine in Feet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3462506"/>
        <c:crossesAt val="0"/>
        <c:crossBetween val="midCat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45 Dregee Pipe Through Floor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0625"/>
          <c:w val="0.84025"/>
          <c:h val="0.819"/>
        </c:manualLayout>
      </c:layout>
      <c:scatterChart>
        <c:scatterStyle val="smooth"/>
        <c:varyColors val="0"/>
        <c:ser>
          <c:idx val="0"/>
          <c:order val="0"/>
          <c:tx>
            <c:v>Available Head</c:v>
          </c:tx>
          <c:spPr>
            <a:ln w="381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'Pipe analysis'!$D$32:$D$44</c:f>
              <c:numCache>
                <c:ptCount val="13"/>
                <c:pt idx="0">
                  <c:v>180</c:v>
                </c:pt>
                <c:pt idx="1">
                  <c:v>170</c:v>
                </c:pt>
                <c:pt idx="2">
                  <c:v>160</c:v>
                </c:pt>
                <c:pt idx="3">
                  <c:v>150</c:v>
                </c:pt>
                <c:pt idx="4">
                  <c:v>140</c:v>
                </c:pt>
                <c:pt idx="5">
                  <c:v>130</c:v>
                </c:pt>
                <c:pt idx="6">
                  <c:v>120</c:v>
                </c:pt>
                <c:pt idx="7">
                  <c:v>110</c:v>
                </c:pt>
                <c:pt idx="8">
                  <c:v>100</c:v>
                </c:pt>
                <c:pt idx="9">
                  <c:v>90</c:v>
                </c:pt>
                <c:pt idx="10">
                  <c:v>80</c:v>
                </c:pt>
                <c:pt idx="11">
                  <c:v>70</c:v>
                </c:pt>
              </c:numCache>
            </c:numRef>
          </c:xVal>
          <c:yVal>
            <c:numRef>
              <c:f>'Pipe analysis'!$P$32:$P$44</c:f>
              <c:numCache>
                <c:ptCount val="13"/>
                <c:pt idx="0">
                  <c:v>34.611361295228235</c:v>
                </c:pt>
                <c:pt idx="1">
                  <c:v>40.254424118274585</c:v>
                </c:pt>
                <c:pt idx="2">
                  <c:v>45.57502620857541</c:v>
                </c:pt>
                <c:pt idx="3">
                  <c:v>50.57316756613073</c:v>
                </c:pt>
                <c:pt idx="4">
                  <c:v>55.24884819094055</c:v>
                </c:pt>
                <c:pt idx="5">
                  <c:v>59.60206808300484</c:v>
                </c:pt>
                <c:pt idx="6">
                  <c:v>63.63282724232366</c:v>
                </c:pt>
                <c:pt idx="7">
                  <c:v>67.34112566889698</c:v>
                </c:pt>
                <c:pt idx="8">
                  <c:v>70.72696336272475</c:v>
                </c:pt>
                <c:pt idx="9">
                  <c:v>73.79034032380704</c:v>
                </c:pt>
                <c:pt idx="10">
                  <c:v>76.53125655214386</c:v>
                </c:pt>
                <c:pt idx="11">
                  <c:v>78.94971204773512</c:v>
                </c:pt>
              </c:numCache>
            </c:numRef>
          </c:yVal>
          <c:smooth val="1"/>
        </c:ser>
        <c:ser>
          <c:idx val="1"/>
          <c:order val="1"/>
          <c:tx>
            <c:v>500 kw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'Pipe analysis'!$D$32:$D$44</c:f>
              <c:numCache>
                <c:ptCount val="13"/>
                <c:pt idx="0">
                  <c:v>180</c:v>
                </c:pt>
                <c:pt idx="1">
                  <c:v>170</c:v>
                </c:pt>
                <c:pt idx="2">
                  <c:v>160</c:v>
                </c:pt>
                <c:pt idx="3">
                  <c:v>150</c:v>
                </c:pt>
                <c:pt idx="4">
                  <c:v>140</c:v>
                </c:pt>
                <c:pt idx="5">
                  <c:v>130</c:v>
                </c:pt>
                <c:pt idx="6">
                  <c:v>120</c:v>
                </c:pt>
                <c:pt idx="7">
                  <c:v>110</c:v>
                </c:pt>
                <c:pt idx="8">
                  <c:v>100</c:v>
                </c:pt>
                <c:pt idx="9">
                  <c:v>90</c:v>
                </c:pt>
                <c:pt idx="10">
                  <c:v>80</c:v>
                </c:pt>
                <c:pt idx="11">
                  <c:v>70</c:v>
                </c:pt>
              </c:numCache>
            </c:numRef>
          </c:xVal>
          <c:yVal>
            <c:numRef>
              <c:f>'Pipe analysis'!$T$32:$T$44</c:f>
              <c:numCache>
                <c:ptCount val="13"/>
                <c:pt idx="0">
                  <c:v>42.41822687182999</c:v>
                </c:pt>
                <c:pt idx="1">
                  <c:v>44.91341668781999</c:v>
                </c:pt>
                <c:pt idx="2">
                  <c:v>47.72050523080874</c:v>
                </c:pt>
                <c:pt idx="3">
                  <c:v>50.90187224619599</c:v>
                </c:pt>
                <c:pt idx="4">
                  <c:v>54.53772026378142</c:v>
                </c:pt>
                <c:pt idx="5">
                  <c:v>58.73292951484153</c:v>
                </c:pt>
                <c:pt idx="6">
                  <c:v>63.62734030774499</c:v>
                </c:pt>
                <c:pt idx="7">
                  <c:v>69.41164397208544</c:v>
                </c:pt>
                <c:pt idx="8">
                  <c:v>76.352808369294</c:v>
                </c:pt>
                <c:pt idx="9">
                  <c:v>84.83645374365997</c:v>
                </c:pt>
                <c:pt idx="10">
                  <c:v>95.44101046161748</c:v>
                </c:pt>
                <c:pt idx="11">
                  <c:v>109.07544052756283</c:v>
                </c:pt>
              </c:numCache>
            </c:numRef>
          </c:yVal>
          <c:smooth val="1"/>
        </c:ser>
        <c:ser>
          <c:idx val="2"/>
          <c:order val="2"/>
          <c:tx>
            <c:v>550 kw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'Pipe analysis'!$D$32:$D$44</c:f>
              <c:numCache>
                <c:ptCount val="13"/>
                <c:pt idx="0">
                  <c:v>180</c:v>
                </c:pt>
                <c:pt idx="1">
                  <c:v>170</c:v>
                </c:pt>
                <c:pt idx="2">
                  <c:v>160</c:v>
                </c:pt>
                <c:pt idx="3">
                  <c:v>150</c:v>
                </c:pt>
                <c:pt idx="4">
                  <c:v>140</c:v>
                </c:pt>
                <c:pt idx="5">
                  <c:v>130</c:v>
                </c:pt>
                <c:pt idx="6">
                  <c:v>120</c:v>
                </c:pt>
                <c:pt idx="7">
                  <c:v>110</c:v>
                </c:pt>
                <c:pt idx="8">
                  <c:v>100</c:v>
                </c:pt>
                <c:pt idx="9">
                  <c:v>90</c:v>
                </c:pt>
                <c:pt idx="10">
                  <c:v>80</c:v>
                </c:pt>
                <c:pt idx="11">
                  <c:v>70</c:v>
                </c:pt>
              </c:numCache>
            </c:numRef>
          </c:xVal>
          <c:yVal>
            <c:numRef>
              <c:f>'Pipe analysis'!$U$32:$U$44</c:f>
              <c:numCache>
                <c:ptCount val="13"/>
                <c:pt idx="0">
                  <c:v>46.66004955901299</c:v>
                </c:pt>
                <c:pt idx="1">
                  <c:v>49.40475835660199</c:v>
                </c:pt>
                <c:pt idx="2">
                  <c:v>52.49255575388961</c:v>
                </c:pt>
                <c:pt idx="3">
                  <c:v>55.99205947081559</c:v>
                </c:pt>
                <c:pt idx="4">
                  <c:v>59.991492290159556</c:v>
                </c:pt>
                <c:pt idx="5">
                  <c:v>64.60622246632569</c:v>
                </c:pt>
                <c:pt idx="6">
                  <c:v>69.99007433851949</c:v>
                </c:pt>
                <c:pt idx="7">
                  <c:v>76.35280836929398</c:v>
                </c:pt>
                <c:pt idx="8">
                  <c:v>83.98808920622339</c:v>
                </c:pt>
                <c:pt idx="9">
                  <c:v>93.32009911802598</c:v>
                </c:pt>
                <c:pt idx="10">
                  <c:v>104.98511150777922</c:v>
                </c:pt>
                <c:pt idx="11">
                  <c:v>119.98298458031911</c:v>
                </c:pt>
              </c:numCache>
            </c:numRef>
          </c:yVal>
          <c:smooth val="1"/>
        </c:ser>
        <c:ser>
          <c:idx val="3"/>
          <c:order val="3"/>
          <c:tx>
            <c:v>600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'Pipe analysis'!$D$32:$D$40</c:f>
              <c:numCache>
                <c:ptCount val="9"/>
                <c:pt idx="0">
                  <c:v>180</c:v>
                </c:pt>
                <c:pt idx="1">
                  <c:v>170</c:v>
                </c:pt>
                <c:pt idx="2">
                  <c:v>160</c:v>
                </c:pt>
                <c:pt idx="3">
                  <c:v>150</c:v>
                </c:pt>
                <c:pt idx="4">
                  <c:v>140</c:v>
                </c:pt>
                <c:pt idx="5">
                  <c:v>130</c:v>
                </c:pt>
                <c:pt idx="6">
                  <c:v>120</c:v>
                </c:pt>
                <c:pt idx="7">
                  <c:v>110</c:v>
                </c:pt>
                <c:pt idx="8">
                  <c:v>100</c:v>
                </c:pt>
              </c:numCache>
            </c:numRef>
          </c:xVal>
          <c:yVal>
            <c:numRef>
              <c:f>'Pipe analysis'!$V$32:$V$40</c:f>
              <c:numCache>
                <c:ptCount val="9"/>
                <c:pt idx="0">
                  <c:v>50.901872246195985</c:v>
                </c:pt>
                <c:pt idx="1">
                  <c:v>53.89610002538399</c:v>
                </c:pt>
                <c:pt idx="2">
                  <c:v>57.26460627697048</c:v>
                </c:pt>
                <c:pt idx="3">
                  <c:v>61.08224669543519</c:v>
                </c:pt>
                <c:pt idx="4">
                  <c:v>65.4452643165377</c:v>
                </c:pt>
                <c:pt idx="5">
                  <c:v>70.47951541780984</c:v>
                </c:pt>
                <c:pt idx="6">
                  <c:v>76.35280836929398</c:v>
                </c:pt>
                <c:pt idx="7">
                  <c:v>83.29397276650253</c:v>
                </c:pt>
                <c:pt idx="8">
                  <c:v>91.62337004315279</c:v>
                </c:pt>
              </c:numCache>
            </c:numRef>
          </c:yVal>
          <c:smooth val="1"/>
        </c:ser>
        <c:ser>
          <c:idx val="4"/>
          <c:order val="4"/>
          <c:tx>
            <c:v>400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'Pipe analysis'!$D$32:$D$44</c:f>
              <c:numCache>
                <c:ptCount val="13"/>
                <c:pt idx="0">
                  <c:v>180</c:v>
                </c:pt>
                <c:pt idx="1">
                  <c:v>170</c:v>
                </c:pt>
                <c:pt idx="2">
                  <c:v>160</c:v>
                </c:pt>
                <c:pt idx="3">
                  <c:v>150</c:v>
                </c:pt>
                <c:pt idx="4">
                  <c:v>140</c:v>
                </c:pt>
                <c:pt idx="5">
                  <c:v>130</c:v>
                </c:pt>
                <c:pt idx="6">
                  <c:v>120</c:v>
                </c:pt>
                <c:pt idx="7">
                  <c:v>110</c:v>
                </c:pt>
                <c:pt idx="8">
                  <c:v>100</c:v>
                </c:pt>
                <c:pt idx="9">
                  <c:v>90</c:v>
                </c:pt>
                <c:pt idx="10">
                  <c:v>80</c:v>
                </c:pt>
                <c:pt idx="11">
                  <c:v>70</c:v>
                </c:pt>
              </c:numCache>
            </c:numRef>
          </c:xVal>
          <c:yVal>
            <c:numRef>
              <c:f>'Pipe analysis'!$W$32:$W$44</c:f>
              <c:numCache>
                <c:ptCount val="13"/>
                <c:pt idx="0">
                  <c:v>33.93458149746399</c:v>
                </c:pt>
                <c:pt idx="1">
                  <c:v>35.93073335025599</c:v>
                </c:pt>
                <c:pt idx="2">
                  <c:v>38.17640418464699</c:v>
                </c:pt>
                <c:pt idx="3">
                  <c:v>40.7214977969568</c:v>
                </c:pt>
                <c:pt idx="4">
                  <c:v>43.63017621102513</c:v>
                </c:pt>
                <c:pt idx="5">
                  <c:v>46.986343611873224</c:v>
                </c:pt>
                <c:pt idx="6">
                  <c:v>50.90187224619599</c:v>
                </c:pt>
                <c:pt idx="7">
                  <c:v>55.52931517766835</c:v>
                </c:pt>
                <c:pt idx="8">
                  <c:v>61.08224669543519</c:v>
                </c:pt>
                <c:pt idx="9">
                  <c:v>67.86916299492798</c:v>
                </c:pt>
                <c:pt idx="10">
                  <c:v>76.35280836929398</c:v>
                </c:pt>
                <c:pt idx="11">
                  <c:v>87.26035242205026</c:v>
                </c:pt>
              </c:numCache>
            </c:numRef>
          </c:yVal>
          <c:smooth val="1"/>
        </c:ser>
        <c:ser>
          <c:idx val="5"/>
          <c:order val="5"/>
          <c:tx>
            <c:v>450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'Pipe analysis'!$D$32:$D$43</c:f>
              <c:numCache>
                <c:ptCount val="12"/>
                <c:pt idx="0">
                  <c:v>180</c:v>
                </c:pt>
                <c:pt idx="1">
                  <c:v>170</c:v>
                </c:pt>
                <c:pt idx="2">
                  <c:v>160</c:v>
                </c:pt>
                <c:pt idx="3">
                  <c:v>150</c:v>
                </c:pt>
                <c:pt idx="4">
                  <c:v>140</c:v>
                </c:pt>
                <c:pt idx="5">
                  <c:v>130</c:v>
                </c:pt>
                <c:pt idx="6">
                  <c:v>120</c:v>
                </c:pt>
                <c:pt idx="7">
                  <c:v>110</c:v>
                </c:pt>
                <c:pt idx="8">
                  <c:v>100</c:v>
                </c:pt>
                <c:pt idx="9">
                  <c:v>90</c:v>
                </c:pt>
                <c:pt idx="10">
                  <c:v>80</c:v>
                </c:pt>
                <c:pt idx="11">
                  <c:v>70</c:v>
                </c:pt>
              </c:numCache>
            </c:numRef>
          </c:xVal>
          <c:yVal>
            <c:numRef>
              <c:f>'Pipe analysis'!$S$32:$S$43</c:f>
              <c:numCache>
                <c:ptCount val="12"/>
                <c:pt idx="0">
                  <c:v>38.17640418464699</c:v>
                </c:pt>
                <c:pt idx="1">
                  <c:v>40.42207501903799</c:v>
                </c:pt>
                <c:pt idx="2">
                  <c:v>42.94845470772786</c:v>
                </c:pt>
                <c:pt idx="3">
                  <c:v>45.811685021576395</c:v>
                </c:pt>
                <c:pt idx="4">
                  <c:v>49.08394823740328</c:v>
                </c:pt>
                <c:pt idx="5">
                  <c:v>52.85963656335738</c:v>
                </c:pt>
                <c:pt idx="6">
                  <c:v>57.26460627697049</c:v>
                </c:pt>
                <c:pt idx="7">
                  <c:v>62.4704795748769</c:v>
                </c:pt>
                <c:pt idx="8">
                  <c:v>68.71752753236458</c:v>
                </c:pt>
                <c:pt idx="9">
                  <c:v>76.35280836929398</c:v>
                </c:pt>
                <c:pt idx="10">
                  <c:v>85.89690941545572</c:v>
                </c:pt>
                <c:pt idx="11">
                  <c:v>98.16789647480655</c:v>
                </c:pt>
              </c:numCache>
            </c:numRef>
          </c:yVal>
          <c:smooth val="1"/>
        </c:ser>
        <c:ser>
          <c:idx val="6"/>
          <c:order val="6"/>
          <c:tx>
            <c:v>36 Francis</c:v>
          </c:tx>
          <c:spPr>
            <a:ln w="25400">
              <a:solidFill>
                <a:srgbClr val="0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'Sample Turbines'!$E$10:$E$14</c:f>
              <c:numCache>
                <c:ptCount val="5"/>
                <c:pt idx="0">
                  <c:v>100</c:v>
                </c:pt>
                <c:pt idx="1">
                  <c:v>96.5</c:v>
                </c:pt>
                <c:pt idx="2">
                  <c:v>94.9</c:v>
                </c:pt>
                <c:pt idx="3">
                  <c:v>93</c:v>
                </c:pt>
                <c:pt idx="4">
                  <c:v>90.7</c:v>
                </c:pt>
              </c:numCache>
            </c:numRef>
          </c:xVal>
          <c:yVal>
            <c:numRef>
              <c:f>'Sample Turbines'!$D$10:$D$14</c:f>
              <c:numCache>
                <c:ptCount val="5"/>
                <c:pt idx="0">
                  <c:v>85</c:v>
                </c:pt>
                <c:pt idx="1">
                  <c:v>80</c:v>
                </c:pt>
                <c:pt idx="2">
                  <c:v>78</c:v>
                </c:pt>
                <c:pt idx="3">
                  <c:v>75</c:v>
                </c:pt>
                <c:pt idx="4">
                  <c:v>70</c:v>
                </c:pt>
              </c:numCache>
            </c:numRef>
          </c:yVal>
          <c:smooth val="1"/>
        </c:ser>
        <c:axId val="12027540"/>
        <c:axId val="41138997"/>
      </c:scatterChart>
      <c:valAx>
        <c:axId val="12027540"/>
        <c:scaling>
          <c:orientation val="minMax"/>
          <c:max val="180"/>
          <c:min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138997"/>
        <c:crossesAt val="0"/>
        <c:crossBetween val="midCat"/>
        <c:dispUnits/>
        <c:majorUnit val="10"/>
      </c:valAx>
      <c:valAx>
        <c:axId val="41138997"/>
        <c:scaling>
          <c:orientation val="minMax"/>
          <c:max val="8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Head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027540"/>
        <c:crossesAt val="0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025"/>
          <c:y val="0.16925"/>
          <c:w val="0.17525"/>
          <c:h val="0.4152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0.12475</cdr:x>
      <cdr:y>0.3695</cdr:y>
    </cdr:from>
    <cdr:to>
      <cdr:x>0.23525</cdr:x>
      <cdr:y>0.48175</cdr:y>
    </cdr:to>
    <cdr:sp>
      <cdr:nvSpPr>
        <cdr:cNvPr id="1" name="TextBox 1"/>
        <cdr:cNvSpPr txBox="1">
          <a:spLocks noChangeArrowheads="1"/>
        </cdr:cNvSpPr>
      </cdr:nvSpPr>
      <cdr:spPr>
        <a:xfrm>
          <a:off x="685800" y="1543050"/>
          <a:ext cx="6191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Typical
 Turbine </a:t>
          </a:r>
        </a:p>
      </cdr:txBody>
    </cdr:sp>
  </cdr:relSizeAnchor>
  <cdr:relSizeAnchor xmlns:cdr="http://schemas.openxmlformats.org/drawingml/2006/chartDrawing">
    <cdr:from>
      <cdr:x>0.39275</cdr:x>
      <cdr:y>0.5565</cdr:y>
    </cdr:from>
    <cdr:to>
      <cdr:x>0.478</cdr:x>
      <cdr:y>0.6085</cdr:y>
    </cdr:to>
    <cdr:sp>
      <cdr:nvSpPr>
        <cdr:cNvPr id="2" name="TextBox 2"/>
        <cdr:cNvSpPr txBox="1">
          <a:spLocks noChangeArrowheads="1"/>
        </cdr:cNvSpPr>
      </cdr:nvSpPr>
      <cdr:spPr>
        <a:xfrm>
          <a:off x="2181225" y="232410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450 kW</a:t>
          </a:r>
        </a:p>
      </cdr:txBody>
    </cdr:sp>
  </cdr:relSizeAnchor>
  <cdr:relSizeAnchor xmlns:cdr="http://schemas.openxmlformats.org/drawingml/2006/chartDrawing">
    <cdr:from>
      <cdr:x>0.53525</cdr:x>
      <cdr:y>0.51475</cdr:y>
    </cdr:from>
    <cdr:to>
      <cdr:x>0.611</cdr:x>
      <cdr:y>0.5565</cdr:y>
    </cdr:to>
    <cdr:sp>
      <cdr:nvSpPr>
        <cdr:cNvPr id="3" name="TextBox 3"/>
        <cdr:cNvSpPr txBox="1">
          <a:spLocks noChangeArrowheads="1"/>
        </cdr:cNvSpPr>
      </cdr:nvSpPr>
      <cdr:spPr>
        <a:xfrm>
          <a:off x="2981325" y="2152650"/>
          <a:ext cx="4191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50" b="0" i="0" u="none" baseline="0">
              <a:latin typeface="Arial"/>
              <a:ea typeface="Arial"/>
              <a:cs typeface="Arial"/>
            </a:rPr>
            <a:t>550 kW</a:t>
          </a:r>
        </a:p>
      </cdr:txBody>
    </cdr:sp>
  </cdr:relSizeAnchor>
  <cdr:relSizeAnchor xmlns:cdr="http://schemas.openxmlformats.org/drawingml/2006/chartDrawing">
    <cdr:from>
      <cdr:x>0.32125</cdr:x>
      <cdr:y>0.34375</cdr:y>
    </cdr:from>
    <cdr:to>
      <cdr:x>0.39275</cdr:x>
      <cdr:y>0.38575</cdr:y>
    </cdr:to>
    <cdr:sp>
      <cdr:nvSpPr>
        <cdr:cNvPr id="4" name="TextBox 5"/>
        <cdr:cNvSpPr txBox="1">
          <a:spLocks noChangeArrowheads="1"/>
        </cdr:cNvSpPr>
      </cdr:nvSpPr>
      <cdr:spPr>
        <a:xfrm>
          <a:off x="1781175" y="1438275"/>
          <a:ext cx="4000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50" b="0" i="0" u="none" baseline="0">
              <a:latin typeface="Arial"/>
              <a:ea typeface="Arial"/>
              <a:cs typeface="Arial"/>
            </a:rPr>
            <a:t>500 kW</a:t>
          </a:r>
        </a:p>
      </cdr:txBody>
    </cdr:sp>
  </cdr:relSizeAnchor>
  <cdr:relSizeAnchor xmlns:cdr="http://schemas.openxmlformats.org/drawingml/2006/chartDrawing">
    <cdr:from>
      <cdr:x>0.17725</cdr:x>
      <cdr:y>0.27775</cdr:y>
    </cdr:from>
    <cdr:to>
      <cdr:x>0.254</cdr:x>
      <cdr:y>0.37025</cdr:y>
    </cdr:to>
    <cdr:sp>
      <cdr:nvSpPr>
        <cdr:cNvPr id="5" name="Line 7"/>
        <cdr:cNvSpPr>
          <a:spLocks/>
        </cdr:cNvSpPr>
      </cdr:nvSpPr>
      <cdr:spPr>
        <a:xfrm flipV="1">
          <a:off x="981075" y="1162050"/>
          <a:ext cx="4286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0.1085</cdr:x>
      <cdr:y>0.039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0"/>
          <a:ext cx="6000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50" b="0" i="0" u="none" baseline="0">
              <a:latin typeface="Arial"/>
              <a:ea typeface="Arial"/>
              <a:cs typeface="Arial"/>
            </a:rPr>
            <a:t>450 kW</a:t>
          </a:r>
        </a:p>
      </cdr:txBody>
    </cdr:sp>
  </cdr:relSizeAnchor>
  <cdr:relSizeAnchor xmlns:cdr="http://schemas.openxmlformats.org/drawingml/2006/chartDrawing">
    <cdr:from>
      <cdr:x>0.24625</cdr:x>
      <cdr:y>0.4825</cdr:y>
    </cdr:from>
    <cdr:to>
      <cdr:x>0.32125</cdr:x>
      <cdr:y>0.56675</cdr:y>
    </cdr:to>
    <cdr:sp>
      <cdr:nvSpPr>
        <cdr:cNvPr id="7" name="TextBox 9"/>
        <cdr:cNvSpPr txBox="1">
          <a:spLocks noChangeArrowheads="1"/>
        </cdr:cNvSpPr>
      </cdr:nvSpPr>
      <cdr:spPr>
        <a:xfrm>
          <a:off x="1371600" y="2019300"/>
          <a:ext cx="419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400 kW </a:t>
          </a:r>
          <a:r>
            <a:rPr lang="en-US" cap="none" sz="17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</xdr:row>
      <xdr:rowOff>142875</xdr:rowOff>
    </xdr:from>
    <xdr:to>
      <xdr:col>9</xdr:col>
      <xdr:colOff>542925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790575" y="628650"/>
        <a:ext cx="54864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266700</xdr:colOff>
      <xdr:row>32</xdr:row>
      <xdr:rowOff>142875</xdr:rowOff>
    </xdr:from>
    <xdr:to>
      <xdr:col>11</xdr:col>
      <xdr:colOff>352425</xdr:colOff>
      <xdr:row>58</xdr:row>
      <xdr:rowOff>123825</xdr:rowOff>
    </xdr:to>
    <xdr:graphicFrame>
      <xdr:nvGraphicFramePr>
        <xdr:cNvPr id="2" name="Chart 3"/>
        <xdr:cNvGraphicFramePr/>
      </xdr:nvGraphicFramePr>
      <xdr:xfrm>
        <a:off x="1733550" y="5324475"/>
        <a:ext cx="5572125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1:L56"/>
  <sheetViews>
    <sheetView tabSelected="1" workbookViewId="0" topLeftCell="A26">
      <selection activeCell="M28" sqref="M28"/>
    </sheetView>
  </sheetViews>
  <sheetFormatPr defaultColWidth="9.140625" defaultRowHeight="12.75"/>
  <cols>
    <col min="2" max="2" width="12.8515625" style="0" customWidth="1"/>
  </cols>
  <sheetData>
    <row r="31" ht="12.75">
      <c r="L31" t="s">
        <v>172</v>
      </c>
    </row>
    <row r="55" spans="5:7" ht="12.75">
      <c r="E55" s="66"/>
      <c r="F55" s="66"/>
      <c r="G55" s="31"/>
    </row>
    <row r="56" spans="5:7" ht="12.75">
      <c r="E56" s="66"/>
      <c r="F56" s="66"/>
      <c r="G56" s="3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2"/>
  <sheetViews>
    <sheetView zoomScale="85" zoomScaleNormal="85" workbookViewId="0" topLeftCell="C10">
      <selection activeCell="E38" sqref="E38"/>
    </sheetView>
  </sheetViews>
  <sheetFormatPr defaultColWidth="9.140625" defaultRowHeight="12.75"/>
  <cols>
    <col min="5" max="5" width="18.421875" style="0" bestFit="1" customWidth="1"/>
    <col min="9" max="9" width="11.8515625" style="0" customWidth="1"/>
  </cols>
  <sheetData>
    <row r="1" spans="2:5" ht="13.5" thickBot="1">
      <c r="B1" s="9" t="s">
        <v>10</v>
      </c>
      <c r="C1" t="s">
        <v>135</v>
      </c>
      <c r="E1" s="10" t="s">
        <v>59</v>
      </c>
    </row>
    <row r="2" spans="2:5" ht="12.75">
      <c r="B2" s="7">
        <v>10.9</v>
      </c>
      <c r="C2">
        <f>B2^2</f>
        <v>118.81</v>
      </c>
      <c r="E2" s="8">
        <v>0.926</v>
      </c>
    </row>
    <row r="3" spans="2:8" ht="12.75">
      <c r="B3" s="7">
        <v>11.9</v>
      </c>
      <c r="C3">
        <f aca="true" t="shared" si="0" ref="C3:C16">B3^2</f>
        <v>141.61</v>
      </c>
      <c r="E3" s="8">
        <v>1.1</v>
      </c>
      <c r="H3" t="s">
        <v>104</v>
      </c>
    </row>
    <row r="4" spans="2:5" ht="13.5" thickBot="1">
      <c r="B4" s="7">
        <v>12.9</v>
      </c>
      <c r="C4">
        <f t="shared" si="0"/>
        <v>166.41</v>
      </c>
      <c r="E4" s="8">
        <v>1.28</v>
      </c>
    </row>
    <row r="5" spans="2:9" ht="12.75">
      <c r="B5" s="7">
        <v>13.8</v>
      </c>
      <c r="C5">
        <f t="shared" si="0"/>
        <v>190.44000000000003</v>
      </c>
      <c r="E5" s="8">
        <v>1.48</v>
      </c>
      <c r="H5" s="40" t="s">
        <v>105</v>
      </c>
      <c r="I5" s="40"/>
    </row>
    <row r="6" spans="2:9" ht="12.75">
      <c r="B6" s="7">
        <v>14.8</v>
      </c>
      <c r="C6">
        <f t="shared" si="0"/>
        <v>219.04000000000002</v>
      </c>
      <c r="E6" s="8">
        <v>1.69</v>
      </c>
      <c r="H6" s="38" t="s">
        <v>106</v>
      </c>
      <c r="I6" s="38">
        <v>0.999952280236438</v>
      </c>
    </row>
    <row r="7" spans="2:9" ht="12.75">
      <c r="B7" s="7">
        <v>17.3</v>
      </c>
      <c r="C7">
        <f t="shared" si="0"/>
        <v>299.29</v>
      </c>
      <c r="E7" s="8">
        <v>2.29</v>
      </c>
      <c r="H7" s="38" t="s">
        <v>107</v>
      </c>
      <c r="I7" s="38">
        <v>0.9999045627500519</v>
      </c>
    </row>
    <row r="8" spans="2:9" ht="12.75">
      <c r="B8" s="7">
        <v>19.8</v>
      </c>
      <c r="C8">
        <f t="shared" si="0"/>
        <v>392.04</v>
      </c>
      <c r="E8" s="8">
        <v>2.97</v>
      </c>
      <c r="H8" s="38" t="s">
        <v>108</v>
      </c>
      <c r="I8" s="38">
        <v>0.9284759913214805</v>
      </c>
    </row>
    <row r="9" spans="2:9" ht="12.75">
      <c r="B9" s="7">
        <v>22.2</v>
      </c>
      <c r="C9">
        <f t="shared" si="0"/>
        <v>492.84</v>
      </c>
      <c r="E9" s="8">
        <v>3.75</v>
      </c>
      <c r="H9" s="38" t="s">
        <v>109</v>
      </c>
      <c r="I9" s="38">
        <v>0.03502732299005013</v>
      </c>
    </row>
    <row r="10" spans="2:9" ht="13.5" thickBot="1">
      <c r="B10" s="7">
        <v>24.7</v>
      </c>
      <c r="C10">
        <f t="shared" si="0"/>
        <v>610.0899999999999</v>
      </c>
      <c r="E10" s="8">
        <v>4.61</v>
      </c>
      <c r="H10" s="39" t="s">
        <v>110</v>
      </c>
      <c r="I10" s="39">
        <v>15</v>
      </c>
    </row>
    <row r="11" spans="2:5" ht="12.75">
      <c r="B11" s="7">
        <v>27.2</v>
      </c>
      <c r="C11">
        <f t="shared" si="0"/>
        <v>739.8399999999999</v>
      </c>
      <c r="E11" s="8">
        <v>5.56</v>
      </c>
    </row>
    <row r="12" spans="2:8" ht="13.5" thickBot="1">
      <c r="B12" s="7">
        <v>29.7</v>
      </c>
      <c r="C12">
        <f t="shared" si="0"/>
        <v>882.0899999999999</v>
      </c>
      <c r="E12" s="8">
        <v>6.6</v>
      </c>
      <c r="H12" t="s">
        <v>111</v>
      </c>
    </row>
    <row r="13" spans="2:13" ht="12.75">
      <c r="B13" s="7">
        <v>32.1</v>
      </c>
      <c r="C13">
        <f t="shared" si="0"/>
        <v>1030.41</v>
      </c>
      <c r="E13" s="8">
        <v>7.73</v>
      </c>
      <c r="H13" s="50"/>
      <c r="I13" s="50" t="s">
        <v>115</v>
      </c>
      <c r="J13" s="50" t="s">
        <v>116</v>
      </c>
      <c r="K13" s="50" t="s">
        <v>117</v>
      </c>
      <c r="L13" s="50" t="s">
        <v>118</v>
      </c>
      <c r="M13" s="50" t="s">
        <v>119</v>
      </c>
    </row>
    <row r="14" spans="2:13" ht="12.75">
      <c r="B14" s="7">
        <v>34.6</v>
      </c>
      <c r="C14">
        <f t="shared" si="0"/>
        <v>1197.16</v>
      </c>
      <c r="E14" s="8">
        <v>8.95</v>
      </c>
      <c r="H14" s="38" t="s">
        <v>112</v>
      </c>
      <c r="I14" s="38">
        <v>1</v>
      </c>
      <c r="J14" s="38">
        <v>179.96272614635143</v>
      </c>
      <c r="K14" s="38">
        <v>179.96272614635143</v>
      </c>
      <c r="L14" s="38">
        <v>146679.24616549435</v>
      </c>
      <c r="M14" s="38">
        <v>9.899806024780185E-28</v>
      </c>
    </row>
    <row r="15" spans="2:13" ht="12.75">
      <c r="B15" s="7">
        <v>37.1</v>
      </c>
      <c r="C15">
        <f t="shared" si="0"/>
        <v>1376.41</v>
      </c>
      <c r="E15" s="8">
        <v>10.3</v>
      </c>
      <c r="H15" s="38" t="s">
        <v>113</v>
      </c>
      <c r="I15" s="38">
        <v>14</v>
      </c>
      <c r="J15" s="38">
        <v>0.01717678698189012</v>
      </c>
      <c r="K15" s="38">
        <v>0.0012269133558492943</v>
      </c>
      <c r="L15" s="38"/>
      <c r="M15" s="38"/>
    </row>
    <row r="16" spans="2:13" ht="13.5" thickBot="1">
      <c r="B16" s="9">
        <v>39.5</v>
      </c>
      <c r="C16">
        <f t="shared" si="0"/>
        <v>1560.25</v>
      </c>
      <c r="E16" s="10">
        <v>11.7</v>
      </c>
      <c r="H16" s="39" t="s">
        <v>114</v>
      </c>
      <c r="I16" s="39">
        <v>15</v>
      </c>
      <c r="J16" s="39">
        <v>179.9799029333333</v>
      </c>
      <c r="K16" s="39"/>
      <c r="L16" s="39"/>
      <c r="M16" s="39"/>
    </row>
    <row r="17" ht="13.5" thickBot="1"/>
    <row r="18" spans="6:16" ht="12.75">
      <c r="F18" t="s">
        <v>149</v>
      </c>
      <c r="H18" s="50"/>
      <c r="I18" s="50" t="s">
        <v>120</v>
      </c>
      <c r="J18" s="50" t="s">
        <v>109</v>
      </c>
      <c r="K18" s="50" t="s">
        <v>121</v>
      </c>
      <c r="L18" s="50" t="s">
        <v>122</v>
      </c>
      <c r="M18" s="50" t="s">
        <v>123</v>
      </c>
      <c r="N18" s="50" t="s">
        <v>124</v>
      </c>
      <c r="O18" s="50" t="s">
        <v>125</v>
      </c>
      <c r="P18" s="50" t="s">
        <v>126</v>
      </c>
    </row>
    <row r="19" spans="4:16" ht="12.75">
      <c r="D19" t="s">
        <v>148</v>
      </c>
      <c r="E19" t="s">
        <v>144</v>
      </c>
      <c r="F19" t="s">
        <v>150</v>
      </c>
      <c r="H19" s="38" t="s">
        <v>70</v>
      </c>
      <c r="I19" s="38">
        <v>0</v>
      </c>
      <c r="J19" s="38" t="e">
        <v>#N/A</v>
      </c>
      <c r="K19" s="38" t="e">
        <v>#N/A</v>
      </c>
      <c r="L19" s="38" t="e">
        <v>#N/A</v>
      </c>
      <c r="M19" s="38" t="e">
        <v>#N/A</v>
      </c>
      <c r="N19" s="38" t="e">
        <v>#N/A</v>
      </c>
      <c r="O19" s="38" t="e">
        <v>#N/A</v>
      </c>
      <c r="P19" s="38" t="e">
        <v>#N/A</v>
      </c>
    </row>
    <row r="20" spans="2:16" ht="13.5" thickBot="1">
      <c r="B20" s="5">
        <v>180</v>
      </c>
      <c r="C20" s="5" t="s">
        <v>0</v>
      </c>
      <c r="D20" s="1">
        <f>B20/'Pipe analysis'!D$26</f>
        <v>39.927251719664774</v>
      </c>
      <c r="E20" s="1">
        <f>D20^2</f>
        <v>1594.1854298854737</v>
      </c>
      <c r="F20" s="1">
        <f>I$20*E20</f>
        <v>11.962491638403325</v>
      </c>
      <c r="H20" s="39" t="s">
        <v>127</v>
      </c>
      <c r="I20" s="39">
        <v>0.007503826979062724</v>
      </c>
      <c r="J20" s="39">
        <v>1.157730633345982E-05</v>
      </c>
      <c r="K20" s="39">
        <v>648.1496440476619</v>
      </c>
      <c r="L20" s="39">
        <v>9.560367687352839E-33</v>
      </c>
      <c r="M20" s="39">
        <v>0.007478996104470778</v>
      </c>
      <c r="N20" s="39">
        <v>0.00752865785365467</v>
      </c>
      <c r="O20" s="39">
        <v>0.007478996104470778</v>
      </c>
      <c r="P20" s="39">
        <v>0.00752865785365467</v>
      </c>
    </row>
    <row r="21" spans="2:6" ht="13.5" thickBot="1">
      <c r="B21" s="5">
        <v>170</v>
      </c>
      <c r="C21" s="5" t="s">
        <v>0</v>
      </c>
      <c r="D21" s="1">
        <f>B21/'Pipe analysis'!D$26</f>
        <v>37.709071068572285</v>
      </c>
      <c r="E21" s="1">
        <f aca="true" t="shared" si="1" ref="E21:E32">D21^2</f>
        <v>1421.9740408546354</v>
      </c>
      <c r="F21" s="1">
        <f aca="true" t="shared" si="2" ref="F21:F32">I$20*E21</f>
        <v>10.670247171291853</v>
      </c>
    </row>
    <row r="22" spans="2:6" ht="12.75">
      <c r="B22" s="13">
        <v>160</v>
      </c>
      <c r="C22" s="14" t="s">
        <v>0</v>
      </c>
      <c r="D22" s="1">
        <f>B22/'Pipe analysis'!D$26</f>
        <v>35.4908904174798</v>
      </c>
      <c r="E22" s="1">
        <f t="shared" si="1"/>
        <v>1259.6033026255593</v>
      </c>
      <c r="F22" s="1">
        <f t="shared" si="2"/>
        <v>9.45184524515818</v>
      </c>
    </row>
    <row r="23" spans="2:6" ht="12.75">
      <c r="B23" s="17">
        <v>150</v>
      </c>
      <c r="C23" s="18" t="s">
        <v>66</v>
      </c>
      <c r="D23" s="1">
        <f>B23/'Pipe analysis'!D$26</f>
        <v>33.272709766387315</v>
      </c>
      <c r="E23" s="1">
        <f t="shared" si="1"/>
        <v>1107.0732151982459</v>
      </c>
      <c r="F23" s="1">
        <f t="shared" si="2"/>
        <v>8.30728586000231</v>
      </c>
    </row>
    <row r="24" spans="2:6" ht="12.75">
      <c r="B24" s="17">
        <v>144</v>
      </c>
      <c r="C24" s="18" t="s">
        <v>0</v>
      </c>
      <c r="D24" s="1">
        <f>B24/'Pipe analysis'!D$26</f>
        <v>31.94180137573182</v>
      </c>
      <c r="E24" s="1">
        <f t="shared" si="1"/>
        <v>1020.2786751267032</v>
      </c>
      <c r="F24" s="1">
        <f>I$20*E24</f>
        <v>7.655994648578128</v>
      </c>
    </row>
    <row r="25" spans="2:6" ht="13.5" thickBot="1">
      <c r="B25" s="21">
        <v>140</v>
      </c>
      <c r="C25" s="22" t="s">
        <v>0</v>
      </c>
      <c r="D25" s="1">
        <f>B25/'Pipe analysis'!D$26</f>
        <v>31.054529115294827</v>
      </c>
      <c r="E25" s="1">
        <f t="shared" si="1"/>
        <v>964.383778572694</v>
      </c>
      <c r="F25" s="1">
        <f t="shared" si="2"/>
        <v>7.236569015824234</v>
      </c>
    </row>
    <row r="26" spans="2:6" ht="12.75">
      <c r="B26" s="5">
        <v>130</v>
      </c>
      <c r="C26" s="5" t="s">
        <v>0</v>
      </c>
      <c r="D26" s="1">
        <f>B26/'Pipe analysis'!D$26</f>
        <v>28.836348464202338</v>
      </c>
      <c r="E26" s="1">
        <f t="shared" si="1"/>
        <v>831.5349927489045</v>
      </c>
      <c r="F26" s="1">
        <f t="shared" si="2"/>
        <v>6.239694712623956</v>
      </c>
    </row>
    <row r="27" spans="2:6" ht="12.75">
      <c r="B27" s="5">
        <v>120</v>
      </c>
      <c r="C27" s="5" t="s">
        <v>0</v>
      </c>
      <c r="D27" s="1">
        <f>B27/'Pipe analysis'!D$26</f>
        <v>26.61816781310985</v>
      </c>
      <c r="E27" s="1">
        <f t="shared" si="1"/>
        <v>708.5268577268772</v>
      </c>
      <c r="F27" s="1">
        <f t="shared" si="2"/>
        <v>5.3166629504014775</v>
      </c>
    </row>
    <row r="28" spans="2:6" ht="12.75">
      <c r="B28" s="5">
        <v>110</v>
      </c>
      <c r="C28" s="5" t="s">
        <v>65</v>
      </c>
      <c r="D28" s="1">
        <f>B28/'Pipe analysis'!D$26</f>
        <v>24.399987162017364</v>
      </c>
      <c r="E28" s="1">
        <f t="shared" si="1"/>
        <v>595.3593735066122</v>
      </c>
      <c r="F28" s="1">
        <f t="shared" si="2"/>
        <v>4.467473729156798</v>
      </c>
    </row>
    <row r="29" spans="2:6" ht="12.75">
      <c r="B29" s="5">
        <v>100</v>
      </c>
      <c r="C29" s="5" t="s">
        <v>0</v>
      </c>
      <c r="D29" s="1">
        <f>B29/'Pipe analysis'!D$26</f>
        <v>22.181806510924876</v>
      </c>
      <c r="E29" s="1">
        <f t="shared" si="1"/>
        <v>492.0325400881092</v>
      </c>
      <c r="F29" s="1">
        <f t="shared" si="2"/>
        <v>3.6921270488899154</v>
      </c>
    </row>
    <row r="30" spans="2:6" ht="12.75">
      <c r="B30" s="5">
        <v>90</v>
      </c>
      <c r="C30" s="5" t="s">
        <v>0</v>
      </c>
      <c r="D30" s="1">
        <f>B30/'Pipe analysis'!D$26</f>
        <v>19.963625859832387</v>
      </c>
      <c r="E30" s="1">
        <f t="shared" si="1"/>
        <v>398.5463574713684</v>
      </c>
      <c r="F30" s="1">
        <f t="shared" si="2"/>
        <v>2.990622909600831</v>
      </c>
    </row>
    <row r="31" spans="2:6" ht="12.75">
      <c r="B31" s="5">
        <v>80</v>
      </c>
      <c r="C31" s="5" t="s">
        <v>0</v>
      </c>
      <c r="D31" s="1">
        <f>B31/'Pipe analysis'!D$26</f>
        <v>17.7454452087399</v>
      </c>
      <c r="E31" s="1">
        <f t="shared" si="1"/>
        <v>314.9008256563898</v>
      </c>
      <c r="F31" s="1">
        <f t="shared" si="2"/>
        <v>2.362961311289545</v>
      </c>
    </row>
    <row r="32" spans="2:6" ht="12.75">
      <c r="B32" s="5">
        <v>70</v>
      </c>
      <c r="C32" s="5" t="s">
        <v>0</v>
      </c>
      <c r="D32" s="1">
        <f>B32/'Pipe analysis'!D$26</f>
        <v>15.527264557647413</v>
      </c>
      <c r="E32" s="1">
        <f t="shared" si="1"/>
        <v>241.0959446431735</v>
      </c>
      <c r="F32" s="1">
        <f t="shared" si="2"/>
        <v>1.8091422539560584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84"/>
  <sheetViews>
    <sheetView zoomScale="55" zoomScaleNormal="55" workbookViewId="0" topLeftCell="A22">
      <selection activeCell="F82" sqref="F82"/>
    </sheetView>
  </sheetViews>
  <sheetFormatPr defaultColWidth="9.140625" defaultRowHeight="12.75"/>
  <cols>
    <col min="1" max="1" width="4.140625" style="0" customWidth="1"/>
    <col min="5" max="5" width="10.421875" style="0" customWidth="1"/>
    <col min="8" max="8" width="9.421875" style="0" customWidth="1"/>
    <col min="10" max="10" width="10.140625" style="0" customWidth="1"/>
    <col min="12" max="12" width="9.28125" style="0" customWidth="1"/>
    <col min="19" max="19" width="9.28125" style="0" customWidth="1"/>
    <col min="20" max="23" width="10.28125" style="0" customWidth="1"/>
  </cols>
  <sheetData>
    <row r="1" ht="20.25">
      <c r="F1" s="61" t="s">
        <v>26</v>
      </c>
    </row>
    <row r="2" ht="20.25">
      <c r="F2" s="61"/>
    </row>
    <row r="3" spans="2:5" ht="12.75">
      <c r="B3" t="s">
        <v>49</v>
      </c>
      <c r="D3">
        <v>30</v>
      </c>
      <c r="E3" t="s">
        <v>133</v>
      </c>
    </row>
    <row r="4" spans="11:18" ht="12.75">
      <c r="K4" t="s">
        <v>142</v>
      </c>
      <c r="Q4" t="s">
        <v>151</v>
      </c>
      <c r="R4" t="s">
        <v>165</v>
      </c>
    </row>
    <row r="5" spans="2:17" ht="13.5" thickBot="1">
      <c r="B5" t="s">
        <v>2</v>
      </c>
      <c r="D5">
        <f>Q9</f>
        <v>87.75</v>
      </c>
      <c r="E5" t="s">
        <v>50</v>
      </c>
      <c r="K5" s="11" t="s">
        <v>9</v>
      </c>
      <c r="L5" s="12"/>
      <c r="N5" t="s">
        <v>46</v>
      </c>
      <c r="Q5" t="s">
        <v>164</v>
      </c>
    </row>
    <row r="6" spans="2:18" ht="13.5" thickBot="1">
      <c r="B6" t="s">
        <v>4</v>
      </c>
      <c r="D6">
        <v>90</v>
      </c>
      <c r="E6" t="s">
        <v>36</v>
      </c>
      <c r="K6" s="9" t="s">
        <v>39</v>
      </c>
      <c r="L6" s="25"/>
      <c r="N6" t="s">
        <v>47</v>
      </c>
      <c r="Q6" t="s">
        <v>162</v>
      </c>
      <c r="R6" t="s">
        <v>163</v>
      </c>
    </row>
    <row r="7" spans="2:18" ht="13.5" thickBot="1">
      <c r="B7" t="s">
        <v>15</v>
      </c>
      <c r="D7" t="s">
        <v>37</v>
      </c>
      <c r="K7" s="9" t="s">
        <v>10</v>
      </c>
      <c r="L7" s="10" t="s">
        <v>40</v>
      </c>
      <c r="N7" s="27">
        <v>0.95</v>
      </c>
      <c r="O7" s="27" t="s">
        <v>42</v>
      </c>
      <c r="Q7">
        <v>2201</v>
      </c>
      <c r="R7">
        <v>2205</v>
      </c>
    </row>
    <row r="8" spans="2:18" ht="12.75">
      <c r="B8" t="s">
        <v>14</v>
      </c>
      <c r="D8">
        <v>2</v>
      </c>
      <c r="K8" s="7">
        <v>10.9</v>
      </c>
      <c r="L8" s="8">
        <v>0.926</v>
      </c>
      <c r="N8" s="27">
        <v>0.97</v>
      </c>
      <c r="O8" s="27" t="s">
        <v>43</v>
      </c>
      <c r="Q8">
        <v>2113.25</v>
      </c>
      <c r="R8">
        <v>2113.25</v>
      </c>
    </row>
    <row r="9" spans="2:18" ht="13.5" thickBot="1">
      <c r="B9" s="76" t="s">
        <v>5</v>
      </c>
      <c r="C9" s="76"/>
      <c r="D9" s="76">
        <v>0</v>
      </c>
      <c r="K9" s="7">
        <v>11.9</v>
      </c>
      <c r="L9" s="8">
        <v>1.1</v>
      </c>
      <c r="N9" s="28">
        <v>0.84</v>
      </c>
      <c r="O9" s="28" t="s">
        <v>44</v>
      </c>
      <c r="Q9">
        <f>Q7-Q8</f>
        <v>87.75</v>
      </c>
      <c r="R9">
        <f>R7-R8</f>
        <v>91.75</v>
      </c>
    </row>
    <row r="10" spans="2:15" ht="12.75">
      <c r="B10" s="76" t="s">
        <v>16</v>
      </c>
      <c r="C10" s="76"/>
      <c r="D10" s="76">
        <v>1</v>
      </c>
      <c r="K10" s="7">
        <v>12.9</v>
      </c>
      <c r="L10" s="8">
        <v>1.28</v>
      </c>
      <c r="N10" s="27">
        <f>N7*N8*N9</f>
        <v>0.77406</v>
      </c>
      <c r="O10" s="27" t="s">
        <v>45</v>
      </c>
    </row>
    <row r="11" spans="2:12" ht="12.75">
      <c r="B11" t="s">
        <v>1</v>
      </c>
      <c r="K11" s="7">
        <v>13.8</v>
      </c>
      <c r="L11" s="8">
        <v>1.48</v>
      </c>
    </row>
    <row r="12" spans="9:12" ht="12.75">
      <c r="I12" s="77"/>
      <c r="K12" s="7">
        <v>14.8</v>
      </c>
      <c r="L12" s="8">
        <v>1.69</v>
      </c>
    </row>
    <row r="13" spans="2:12" ht="12.75">
      <c r="B13" t="s">
        <v>13</v>
      </c>
      <c r="D13">
        <v>0.9</v>
      </c>
      <c r="E13" t="s">
        <v>24</v>
      </c>
      <c r="F13" t="s">
        <v>161</v>
      </c>
      <c r="J13" t="s">
        <v>1</v>
      </c>
      <c r="K13" s="7">
        <v>17.3</v>
      </c>
      <c r="L13" s="8">
        <v>2.29</v>
      </c>
    </row>
    <row r="14" spans="2:12" ht="12.75">
      <c r="B14" t="s">
        <v>11</v>
      </c>
      <c r="D14">
        <v>0.35</v>
      </c>
      <c r="E14" t="s">
        <v>12</v>
      </c>
      <c r="F14" t="s">
        <v>93</v>
      </c>
      <c r="J14" t="s">
        <v>1</v>
      </c>
      <c r="K14" s="7">
        <v>19.8</v>
      </c>
      <c r="L14" s="8">
        <v>2.97</v>
      </c>
    </row>
    <row r="15" spans="2:12" ht="12.75">
      <c r="B15" t="s">
        <v>56</v>
      </c>
      <c r="D15">
        <v>50000</v>
      </c>
      <c r="E15" t="s">
        <v>57</v>
      </c>
      <c r="F15" t="s">
        <v>69</v>
      </c>
      <c r="J15" t="s">
        <v>1</v>
      </c>
      <c r="K15" s="7">
        <v>22.2</v>
      </c>
      <c r="L15" s="8">
        <v>3.75</v>
      </c>
    </row>
    <row r="16" spans="2:12" ht="12.75">
      <c r="B16" t="s">
        <v>62</v>
      </c>
      <c r="D16">
        <v>0.18</v>
      </c>
      <c r="E16" t="s">
        <v>12</v>
      </c>
      <c r="F16" t="s">
        <v>72</v>
      </c>
      <c r="K16" s="7">
        <v>24.7</v>
      </c>
      <c r="L16" s="8">
        <v>4.61</v>
      </c>
    </row>
    <row r="17" spans="2:12" ht="12.75">
      <c r="B17" t="s">
        <v>61</v>
      </c>
      <c r="D17">
        <v>0.25</v>
      </c>
      <c r="E17" t="s">
        <v>12</v>
      </c>
      <c r="F17" t="s">
        <v>73</v>
      </c>
      <c r="K17" s="7">
        <v>27.2</v>
      </c>
      <c r="L17" s="8">
        <v>5.56</v>
      </c>
    </row>
    <row r="18" spans="2:12" ht="12.75">
      <c r="B18" t="s">
        <v>160</v>
      </c>
      <c r="D18" s="29">
        <v>0.2</v>
      </c>
      <c r="K18" s="7">
        <v>29.7</v>
      </c>
      <c r="L18" s="8">
        <v>6.6</v>
      </c>
    </row>
    <row r="19" spans="2:12" ht="12.75">
      <c r="B19" t="s">
        <v>28</v>
      </c>
      <c r="D19" s="27">
        <v>0.75</v>
      </c>
      <c r="E19" s="42" t="s">
        <v>48</v>
      </c>
      <c r="F19" t="s">
        <v>52</v>
      </c>
      <c r="J19" t="s">
        <v>1</v>
      </c>
      <c r="K19" s="7">
        <v>32.1</v>
      </c>
      <c r="L19" s="8">
        <v>7.73</v>
      </c>
    </row>
    <row r="20" spans="2:12" ht="12.75">
      <c r="B20" t="s">
        <v>63</v>
      </c>
      <c r="D20" s="27">
        <f>N10</f>
        <v>0.77406</v>
      </c>
      <c r="E20" s="42" t="s">
        <v>25</v>
      </c>
      <c r="F20" t="s">
        <v>166</v>
      </c>
      <c r="J20" t="s">
        <v>1</v>
      </c>
      <c r="K20" s="7">
        <v>34.6</v>
      </c>
      <c r="L20" s="8">
        <v>8.95</v>
      </c>
    </row>
    <row r="21" spans="2:12" ht="12.75">
      <c r="B21" t="s">
        <v>41</v>
      </c>
      <c r="C21" t="s">
        <v>55</v>
      </c>
      <c r="F21" t="s">
        <v>64</v>
      </c>
      <c r="J21" t="s">
        <v>1</v>
      </c>
      <c r="K21" s="7">
        <v>37.1</v>
      </c>
      <c r="L21" s="8">
        <v>10.3</v>
      </c>
    </row>
    <row r="22" spans="6:12" ht="13.5" thickBot="1">
      <c r="F22" t="s">
        <v>54</v>
      </c>
      <c r="K22" s="9">
        <v>39.5</v>
      </c>
      <c r="L22" s="10">
        <v>11.7</v>
      </c>
    </row>
    <row r="23" spans="10:12" ht="12.75">
      <c r="J23" s="78"/>
      <c r="L23" s="2"/>
    </row>
    <row r="24" ht="12.75">
      <c r="L24" s="2"/>
    </row>
    <row r="25" spans="2:12" ht="12.75">
      <c r="B25" s="3" t="s">
        <v>20</v>
      </c>
      <c r="C25" s="3"/>
      <c r="D25" s="79">
        <f>SUM(D14,D16,D17)</f>
        <v>0.78</v>
      </c>
      <c r="E25" s="79" t="s">
        <v>74</v>
      </c>
      <c r="F25" s="79" t="s">
        <v>167</v>
      </c>
      <c r="G25" s="79"/>
      <c r="H25" s="79"/>
      <c r="I25" s="79"/>
      <c r="L25" s="2"/>
    </row>
    <row r="26" spans="2:12" ht="12.75">
      <c r="B26" s="3" t="s">
        <v>19</v>
      </c>
      <c r="C26" s="3"/>
      <c r="D26" s="4">
        <f>((D3-1.25)/24)^2*PI()</f>
        <v>4.508199093286135</v>
      </c>
      <c r="E26" s="3" t="s">
        <v>7</v>
      </c>
      <c r="L26" s="2"/>
    </row>
    <row r="27" spans="2:12" ht="12.75">
      <c r="B27" t="s">
        <v>51</v>
      </c>
      <c r="D27" s="4">
        <v>12</v>
      </c>
      <c r="E27" s="3" t="s">
        <v>7</v>
      </c>
      <c r="L27" s="2"/>
    </row>
    <row r="28" spans="8:23" ht="12.75">
      <c r="H28" t="s">
        <v>60</v>
      </c>
      <c r="I28" t="s">
        <v>30</v>
      </c>
      <c r="J28" t="s">
        <v>30</v>
      </c>
      <c r="L28" s="2" t="s">
        <v>21</v>
      </c>
      <c r="M28" t="s">
        <v>134</v>
      </c>
      <c r="O28" t="s">
        <v>27</v>
      </c>
      <c r="R28" s="62"/>
      <c r="S28" s="62" t="s">
        <v>170</v>
      </c>
      <c r="T28" s="62"/>
      <c r="U28" s="62"/>
      <c r="V28" s="62"/>
      <c r="W28" s="62"/>
    </row>
    <row r="29" spans="6:23" ht="12.75">
      <c r="F29" t="s">
        <v>29</v>
      </c>
      <c r="G29" t="s">
        <v>29</v>
      </c>
      <c r="H29" t="s">
        <v>58</v>
      </c>
      <c r="I29" t="s">
        <v>32</v>
      </c>
      <c r="J29" t="s">
        <v>31</v>
      </c>
      <c r="K29" t="s">
        <v>18</v>
      </c>
      <c r="L29" s="2" t="s">
        <v>53</v>
      </c>
      <c r="M29" t="s">
        <v>169</v>
      </c>
      <c r="O29" t="s">
        <v>34</v>
      </c>
      <c r="R29" s="62"/>
      <c r="S29" s="62"/>
      <c r="T29" s="62"/>
      <c r="U29" s="62"/>
      <c r="V29" s="62"/>
      <c r="W29" s="62"/>
    </row>
    <row r="30" spans="3:23" ht="12.75">
      <c r="C30" t="s">
        <v>67</v>
      </c>
      <c r="F30" t="s">
        <v>38</v>
      </c>
      <c r="G30" t="s">
        <v>23</v>
      </c>
      <c r="H30" t="s">
        <v>59</v>
      </c>
      <c r="I30" t="s">
        <v>38</v>
      </c>
      <c r="J30" t="s">
        <v>33</v>
      </c>
      <c r="K30" t="s">
        <v>71</v>
      </c>
      <c r="L30" s="2" t="s">
        <v>132</v>
      </c>
      <c r="M30">
        <v>90</v>
      </c>
      <c r="O30" t="s">
        <v>35</v>
      </c>
      <c r="P30" t="s">
        <v>17</v>
      </c>
      <c r="Q30" s="75" t="s">
        <v>22</v>
      </c>
      <c r="R30" s="63" t="s">
        <v>145</v>
      </c>
      <c r="S30" s="80">
        <f>$N$10</f>
        <v>0.77406</v>
      </c>
      <c r="T30" s="80">
        <f>S30</f>
        <v>0.77406</v>
      </c>
      <c r="U30" s="80">
        <f>T30</f>
        <v>0.77406</v>
      </c>
      <c r="V30" s="80">
        <f>U30</f>
        <v>0.77406</v>
      </c>
      <c r="W30" s="80">
        <f>V30</f>
        <v>0.77406</v>
      </c>
    </row>
    <row r="31" spans="3:23" ht="12.75">
      <c r="C31" t="s">
        <v>68</v>
      </c>
      <c r="D31" t="s">
        <v>6</v>
      </c>
      <c r="F31" t="s">
        <v>8</v>
      </c>
      <c r="G31" t="s">
        <v>24</v>
      </c>
      <c r="H31" t="s">
        <v>24</v>
      </c>
      <c r="I31" t="s">
        <v>8</v>
      </c>
      <c r="J31" t="s">
        <v>3</v>
      </c>
      <c r="K31" t="s">
        <v>3</v>
      </c>
      <c r="L31" s="2" t="s">
        <v>3</v>
      </c>
      <c r="M31" s="75" t="s">
        <v>24</v>
      </c>
      <c r="O31" s="2" t="s">
        <v>3</v>
      </c>
      <c r="P31" t="s">
        <v>24</v>
      </c>
      <c r="R31" s="63" t="s">
        <v>146</v>
      </c>
      <c r="S31" s="81">
        <v>450</v>
      </c>
      <c r="T31" s="81">
        <v>500</v>
      </c>
      <c r="U31" s="81">
        <v>550</v>
      </c>
      <c r="V31" s="81">
        <v>600</v>
      </c>
      <c r="W31" s="81">
        <v>400</v>
      </c>
    </row>
    <row r="32" spans="3:23" ht="12.75">
      <c r="C32" s="30">
        <v>0.8</v>
      </c>
      <c r="D32" s="5">
        <v>180</v>
      </c>
      <c r="E32" s="5" t="s">
        <v>0</v>
      </c>
      <c r="F32" s="1">
        <f aca="true" t="shared" si="0" ref="F32:F43">D32/D$26</f>
        <v>39.927251719664774</v>
      </c>
      <c r="G32" s="1">
        <f aca="true" t="shared" si="1" ref="G32:G43">F32^2/64.4</f>
        <v>24.75443214107878</v>
      </c>
      <c r="H32" s="32">
        <f>(2*(D32*449/$D$15)^2)/14.6*32.2</f>
        <v>11.524728289315071</v>
      </c>
      <c r="I32" s="1">
        <f aca="true" t="shared" si="2" ref="I32:I40">D32/D$27</f>
        <v>15</v>
      </c>
      <c r="J32" s="1">
        <f>I32^2/64.4</f>
        <v>3.493788819875776</v>
      </c>
      <c r="K32" s="32">
        <f aca="true" t="shared" si="3" ref="K32:K43">G32*$D$25</f>
        <v>19.30845707004145</v>
      </c>
      <c r="L32" s="82">
        <f>'Pipe Loss Regression'!F20</f>
        <v>11.962491638403325</v>
      </c>
      <c r="M32" s="32">
        <f>L32*M$30/100*1.17</f>
        <v>12.596503695238699</v>
      </c>
      <c r="O32" s="32">
        <f aca="true" t="shared" si="4" ref="O32:O40">J32+(1-$D$19)*(G32-J32)</f>
        <v>8.808949650176528</v>
      </c>
      <c r="P32" s="6">
        <f>$D$5-D$13-H32-K32-M32-O32</f>
        <v>34.611361295228235</v>
      </c>
      <c r="Q32" s="6">
        <f aca="true" t="shared" si="5" ref="Q32:Q40">$D$20*P32*D32*0.0846</f>
        <v>407.9774644966795</v>
      </c>
      <c r="R32" s="64">
        <f>Q32*8760/1000000</f>
        <v>3.5738825889909123</v>
      </c>
      <c r="S32" s="65">
        <f aca="true" t="shared" si="6" ref="S32:W43">S$31/($D32*0.0846*S$30)</f>
        <v>38.17640418464699</v>
      </c>
      <c r="T32" s="65">
        <f t="shared" si="6"/>
        <v>42.41822687182999</v>
      </c>
      <c r="U32" s="65">
        <f t="shared" si="6"/>
        <v>46.66004955901299</v>
      </c>
      <c r="V32" s="65">
        <f t="shared" si="6"/>
        <v>50.901872246195985</v>
      </c>
      <c r="W32" s="65">
        <f t="shared" si="6"/>
        <v>33.93458149746399</v>
      </c>
    </row>
    <row r="33" spans="4:23" ht="13.5" thickBot="1">
      <c r="D33" s="5">
        <v>170</v>
      </c>
      <c r="E33" s="5" t="s">
        <v>0</v>
      </c>
      <c r="F33" s="1">
        <f t="shared" si="0"/>
        <v>37.709071068572285</v>
      </c>
      <c r="G33" s="1">
        <f t="shared" si="1"/>
        <v>22.08034224929558</v>
      </c>
      <c r="H33" s="32">
        <f aca="true" t="shared" si="7" ref="H33:H43">(2*(D33*449/$D$15)^2)/14.6*32.2</f>
        <v>10.279773072876715</v>
      </c>
      <c r="I33" s="1">
        <f t="shared" si="2"/>
        <v>14.166666666666666</v>
      </c>
      <c r="J33" s="1">
        <f>I33^2/64.4</f>
        <v>3.116373360938578</v>
      </c>
      <c r="K33" s="32">
        <f t="shared" si="3"/>
        <v>17.222666954450553</v>
      </c>
      <c r="L33" s="82">
        <f>'Pipe Loss Regression'!F21</f>
        <v>10.670247171291853</v>
      </c>
      <c r="M33" s="32">
        <f aca="true" t="shared" si="8" ref="M33:M43">L33*M$30/100*1.17</f>
        <v>11.235770271370322</v>
      </c>
      <c r="O33" s="32">
        <f t="shared" si="4"/>
        <v>7.857365583027828</v>
      </c>
      <c r="P33" s="6">
        <f aca="true" t="shared" si="9" ref="P33:P43">$D$5-D$13-H33-K33-M33-O33</f>
        <v>40.254424118274585</v>
      </c>
      <c r="Q33" s="6">
        <f t="shared" si="5"/>
        <v>448.1336211634855</v>
      </c>
      <c r="R33" s="64">
        <f>Q33*8760/1000000</f>
        <v>3.925650521392133</v>
      </c>
      <c r="S33" s="65">
        <f t="shared" si="6"/>
        <v>40.42207501903799</v>
      </c>
      <c r="T33" s="65">
        <f t="shared" si="6"/>
        <v>44.91341668781999</v>
      </c>
      <c r="U33" s="65">
        <f t="shared" si="6"/>
        <v>49.40475835660199</v>
      </c>
      <c r="V33" s="65">
        <f t="shared" si="6"/>
        <v>53.89610002538399</v>
      </c>
      <c r="W33" s="65">
        <f t="shared" si="6"/>
        <v>35.93073335025599</v>
      </c>
    </row>
    <row r="34" spans="4:23" ht="12.75">
      <c r="D34" s="13">
        <v>160</v>
      </c>
      <c r="E34" s="14" t="s">
        <v>0</v>
      </c>
      <c r="F34" s="15">
        <f t="shared" si="0"/>
        <v>35.4908904174798</v>
      </c>
      <c r="G34" s="15">
        <f t="shared" si="1"/>
        <v>19.5590574941857</v>
      </c>
      <c r="H34" s="32">
        <f t="shared" si="7"/>
        <v>9.10595815452055</v>
      </c>
      <c r="I34" s="15">
        <f t="shared" si="2"/>
        <v>13.333333333333334</v>
      </c>
      <c r="J34" s="15">
        <f aca="true" t="shared" si="10" ref="J34:J43">I34^2/64.4</f>
        <v>2.7605244996549345</v>
      </c>
      <c r="K34" s="34">
        <f t="shared" si="3"/>
        <v>15.256064845464847</v>
      </c>
      <c r="L34" s="82">
        <f>'Pipe Loss Regression'!F22</f>
        <v>9.45184524515818</v>
      </c>
      <c r="M34" s="32">
        <f t="shared" si="8"/>
        <v>9.952793043151562</v>
      </c>
      <c r="O34" s="34">
        <f t="shared" si="4"/>
        <v>6.960157748287626</v>
      </c>
      <c r="P34" s="6">
        <f t="shared" si="9"/>
        <v>45.57502620857541</v>
      </c>
      <c r="Q34" s="16">
        <f t="shared" si="5"/>
        <v>477.52036559696563</v>
      </c>
      <c r="R34" s="64">
        <f>Q34*8760/1000000</f>
        <v>4.183078402629419</v>
      </c>
      <c r="S34" s="65">
        <f t="shared" si="6"/>
        <v>42.94845470772786</v>
      </c>
      <c r="T34" s="65">
        <f t="shared" si="6"/>
        <v>47.72050523080874</v>
      </c>
      <c r="U34" s="65">
        <f t="shared" si="6"/>
        <v>52.49255575388961</v>
      </c>
      <c r="V34" s="65">
        <f t="shared" si="6"/>
        <v>57.26460627697048</v>
      </c>
      <c r="W34" s="65">
        <f t="shared" si="6"/>
        <v>38.17640418464699</v>
      </c>
    </row>
    <row r="35" spans="3:23" ht="12.75">
      <c r="C35" s="30">
        <v>0.1</v>
      </c>
      <c r="D35" s="17">
        <v>150</v>
      </c>
      <c r="E35" s="18" t="s">
        <v>66</v>
      </c>
      <c r="F35" s="19">
        <f t="shared" si="0"/>
        <v>33.272709766387315</v>
      </c>
      <c r="G35" s="19">
        <f t="shared" si="1"/>
        <v>17.190577875749156</v>
      </c>
      <c r="H35" s="32">
        <f t="shared" si="7"/>
        <v>8.003283534246576</v>
      </c>
      <c r="I35" s="19">
        <f t="shared" si="2"/>
        <v>12.5</v>
      </c>
      <c r="J35" s="19">
        <f t="shared" si="10"/>
        <v>2.4262422360248443</v>
      </c>
      <c r="K35" s="35">
        <f t="shared" si="3"/>
        <v>13.408650743084342</v>
      </c>
      <c r="L35" s="82">
        <f>'Pipe Loss Regression'!F23</f>
        <v>8.30728586000231</v>
      </c>
      <c r="M35" s="32">
        <f t="shared" si="8"/>
        <v>8.74757201058243</v>
      </c>
      <c r="O35" s="35">
        <f t="shared" si="4"/>
        <v>6.117326145955922</v>
      </c>
      <c r="P35" s="6">
        <f t="shared" si="9"/>
        <v>50.57316756613073</v>
      </c>
      <c r="Q35" s="20">
        <f t="shared" si="5"/>
        <v>496.7711926343748</v>
      </c>
      <c r="R35" s="64">
        <f aca="true" t="shared" si="11" ref="R35:R43">Q35*8760/1000000</f>
        <v>4.351715647477123</v>
      </c>
      <c r="S35" s="65">
        <f t="shared" si="6"/>
        <v>45.811685021576395</v>
      </c>
      <c r="T35" s="65">
        <f t="shared" si="6"/>
        <v>50.90187224619599</v>
      </c>
      <c r="U35" s="65">
        <f t="shared" si="6"/>
        <v>55.99205947081559</v>
      </c>
      <c r="V35" s="65">
        <f t="shared" si="6"/>
        <v>61.08224669543519</v>
      </c>
      <c r="W35" s="65">
        <f t="shared" si="6"/>
        <v>40.7214977969568</v>
      </c>
    </row>
    <row r="36" spans="4:23" ht="13.5" thickBot="1">
      <c r="D36" s="21">
        <v>140</v>
      </c>
      <c r="E36" s="22" t="s">
        <v>0</v>
      </c>
      <c r="F36" s="23">
        <f t="shared" si="0"/>
        <v>31.054529115294827</v>
      </c>
      <c r="G36" s="23">
        <f t="shared" si="1"/>
        <v>14.974903393985931</v>
      </c>
      <c r="H36" s="32">
        <f t="shared" si="7"/>
        <v>6.971749212054796</v>
      </c>
      <c r="I36" s="23">
        <f t="shared" si="2"/>
        <v>11.666666666666666</v>
      </c>
      <c r="J36" s="23">
        <f t="shared" si="10"/>
        <v>2.113526570048309</v>
      </c>
      <c r="K36" s="36">
        <f t="shared" si="3"/>
        <v>11.680424647309026</v>
      </c>
      <c r="L36" s="82">
        <f>'Pipe Loss Regression'!F25</f>
        <v>7.236569015824234</v>
      </c>
      <c r="M36" s="32">
        <f t="shared" si="8"/>
        <v>7.620107173662918</v>
      </c>
      <c r="O36" s="36">
        <f t="shared" si="4"/>
        <v>5.328870776032714</v>
      </c>
      <c r="P36" s="6">
        <f t="shared" si="9"/>
        <v>55.24884819094055</v>
      </c>
      <c r="Q36" s="24">
        <f t="shared" si="5"/>
        <v>506.51959711296735</v>
      </c>
      <c r="R36" s="64">
        <f t="shared" si="11"/>
        <v>4.437111670709594</v>
      </c>
      <c r="S36" s="65">
        <f t="shared" si="6"/>
        <v>49.08394823740328</v>
      </c>
      <c r="T36" s="65">
        <f t="shared" si="6"/>
        <v>54.53772026378142</v>
      </c>
      <c r="U36" s="65">
        <f t="shared" si="6"/>
        <v>59.991492290159556</v>
      </c>
      <c r="V36" s="65">
        <f t="shared" si="6"/>
        <v>65.4452643165377</v>
      </c>
      <c r="W36" s="65">
        <f t="shared" si="6"/>
        <v>43.63017621102513</v>
      </c>
    </row>
    <row r="37" spans="4:23" ht="12.75">
      <c r="D37" s="5">
        <v>130</v>
      </c>
      <c r="E37" s="5" t="s">
        <v>0</v>
      </c>
      <c r="F37" s="1">
        <f t="shared" si="0"/>
        <v>28.836348464202338</v>
      </c>
      <c r="G37" s="1">
        <f t="shared" si="1"/>
        <v>12.912034048896032</v>
      </c>
      <c r="H37" s="32">
        <f t="shared" si="7"/>
        <v>6.011355187945206</v>
      </c>
      <c r="I37" s="1">
        <f t="shared" si="2"/>
        <v>10.833333333333334</v>
      </c>
      <c r="J37" s="1">
        <f t="shared" si="10"/>
        <v>1.8223775017253279</v>
      </c>
      <c r="K37" s="32">
        <f t="shared" si="3"/>
        <v>10.071386558138906</v>
      </c>
      <c r="L37" s="82">
        <f>'Pipe Loss Regression'!F26</f>
        <v>6.239694712623956</v>
      </c>
      <c r="M37" s="32">
        <f t="shared" si="8"/>
        <v>6.570398532393026</v>
      </c>
      <c r="O37" s="32">
        <f t="shared" si="4"/>
        <v>4.594791638518004</v>
      </c>
      <c r="P37" s="6">
        <f t="shared" si="9"/>
        <v>59.60206808300484</v>
      </c>
      <c r="Q37" s="6">
        <f t="shared" si="5"/>
        <v>507.39907386999727</v>
      </c>
      <c r="R37" s="64">
        <f t="shared" si="11"/>
        <v>4.444815887101176</v>
      </c>
      <c r="S37" s="65">
        <f t="shared" si="6"/>
        <v>52.85963656335738</v>
      </c>
      <c r="T37" s="65">
        <f t="shared" si="6"/>
        <v>58.73292951484153</v>
      </c>
      <c r="U37" s="65">
        <f t="shared" si="6"/>
        <v>64.60622246632569</v>
      </c>
      <c r="V37" s="65">
        <f t="shared" si="6"/>
        <v>70.47951541780984</v>
      </c>
      <c r="W37" s="65">
        <f t="shared" si="6"/>
        <v>46.986343611873224</v>
      </c>
    </row>
    <row r="38" spans="4:23" ht="12.75">
      <c r="D38" s="5">
        <v>120</v>
      </c>
      <c r="E38" s="5" t="s">
        <v>0</v>
      </c>
      <c r="F38" s="1">
        <f t="shared" si="0"/>
        <v>26.61816781310985</v>
      </c>
      <c r="G38" s="1">
        <f t="shared" si="1"/>
        <v>11.00196984047946</v>
      </c>
      <c r="H38" s="32">
        <f t="shared" si="7"/>
        <v>5.122101461917807</v>
      </c>
      <c r="I38" s="1">
        <f t="shared" si="2"/>
        <v>10</v>
      </c>
      <c r="J38" s="1">
        <f t="shared" si="10"/>
        <v>1.5527950310559004</v>
      </c>
      <c r="K38" s="32">
        <f t="shared" si="3"/>
        <v>8.581536475573978</v>
      </c>
      <c r="L38" s="82">
        <f>'Pipe Loss Regression'!F27</f>
        <v>5.3166629504014775</v>
      </c>
      <c r="M38" s="32">
        <f t="shared" si="8"/>
        <v>5.598446086772755</v>
      </c>
      <c r="O38" s="32">
        <f t="shared" si="4"/>
        <v>3.91508873341179</v>
      </c>
      <c r="P38" s="6">
        <f t="shared" si="9"/>
        <v>63.63282724232366</v>
      </c>
      <c r="Q38" s="6">
        <f t="shared" si="5"/>
        <v>500.0431177427198</v>
      </c>
      <c r="R38" s="64">
        <f t="shared" si="11"/>
        <v>4.380377711426226</v>
      </c>
      <c r="S38" s="65">
        <f t="shared" si="6"/>
        <v>57.26460627697049</v>
      </c>
      <c r="T38" s="65">
        <f t="shared" si="6"/>
        <v>63.62734030774499</v>
      </c>
      <c r="U38" s="65">
        <f t="shared" si="6"/>
        <v>69.99007433851949</v>
      </c>
      <c r="V38" s="65">
        <f t="shared" si="6"/>
        <v>76.35280836929398</v>
      </c>
      <c r="W38" s="65">
        <f t="shared" si="6"/>
        <v>50.90187224619599</v>
      </c>
    </row>
    <row r="39" spans="3:23" ht="12.75">
      <c r="C39" s="30">
        <v>0.1</v>
      </c>
      <c r="D39" s="5">
        <v>110</v>
      </c>
      <c r="E39" s="5" t="s">
        <v>65</v>
      </c>
      <c r="F39" s="1">
        <f t="shared" si="0"/>
        <v>24.399987162017364</v>
      </c>
      <c r="G39" s="1">
        <f t="shared" si="1"/>
        <v>9.244710768736214</v>
      </c>
      <c r="H39" s="32">
        <f t="shared" si="7"/>
        <v>4.303988033972603</v>
      </c>
      <c r="I39" s="1">
        <f t="shared" si="2"/>
        <v>9.166666666666666</v>
      </c>
      <c r="J39" s="1">
        <f t="shared" si="10"/>
        <v>1.3047791580400274</v>
      </c>
      <c r="K39" s="32">
        <f t="shared" si="3"/>
        <v>7.210874399614247</v>
      </c>
      <c r="L39" s="82">
        <f>'Pipe Loss Regression'!F28</f>
        <v>4.467473729156798</v>
      </c>
      <c r="M39" s="32">
        <f t="shared" si="8"/>
        <v>4.704249836802108</v>
      </c>
      <c r="O39" s="32">
        <f t="shared" si="4"/>
        <v>3.2897620607140743</v>
      </c>
      <c r="P39" s="6">
        <f t="shared" si="9"/>
        <v>67.34112566889698</v>
      </c>
      <c r="Q39" s="6">
        <f t="shared" si="5"/>
        <v>485.08522356838904</v>
      </c>
      <c r="R39" s="64">
        <f t="shared" si="11"/>
        <v>4.249346558459088</v>
      </c>
      <c r="S39" s="65">
        <f t="shared" si="6"/>
        <v>62.4704795748769</v>
      </c>
      <c r="T39" s="65">
        <f t="shared" si="6"/>
        <v>69.41164397208544</v>
      </c>
      <c r="U39" s="65">
        <f t="shared" si="6"/>
        <v>76.35280836929398</v>
      </c>
      <c r="V39" s="65">
        <f t="shared" si="6"/>
        <v>83.29397276650253</v>
      </c>
      <c r="W39" s="65">
        <f t="shared" si="6"/>
        <v>55.52931517766835</v>
      </c>
    </row>
    <row r="40" spans="4:23" ht="12.75">
      <c r="D40" s="5">
        <v>100</v>
      </c>
      <c r="E40" s="5" t="s">
        <v>0</v>
      </c>
      <c r="F40" s="1">
        <f t="shared" si="0"/>
        <v>22.181806510924876</v>
      </c>
      <c r="G40" s="1">
        <f t="shared" si="1"/>
        <v>7.6402568336662915</v>
      </c>
      <c r="H40" s="32">
        <f t="shared" si="7"/>
        <v>3.5570149041095895</v>
      </c>
      <c r="I40" s="1">
        <f t="shared" si="2"/>
        <v>8.333333333333334</v>
      </c>
      <c r="J40" s="1">
        <f t="shared" si="10"/>
        <v>1.0783298826777088</v>
      </c>
      <c r="K40" s="32">
        <f t="shared" si="3"/>
        <v>5.959400330259707</v>
      </c>
      <c r="L40" s="82">
        <f>'Pipe Loss Regression'!F29</f>
        <v>3.6921270488899154</v>
      </c>
      <c r="M40" s="32">
        <f t="shared" si="8"/>
        <v>3.8878097824810807</v>
      </c>
      <c r="O40" s="32">
        <f t="shared" si="4"/>
        <v>2.7188116204248542</v>
      </c>
      <c r="P40" s="6">
        <f t="shared" si="9"/>
        <v>70.72696336272475</v>
      </c>
      <c r="Q40" s="6">
        <f t="shared" si="5"/>
        <v>463.15888618425896</v>
      </c>
      <c r="R40" s="64">
        <f t="shared" si="11"/>
        <v>4.057271842974108</v>
      </c>
      <c r="S40" s="65">
        <f t="shared" si="6"/>
        <v>68.71752753236458</v>
      </c>
      <c r="T40" s="65">
        <f t="shared" si="6"/>
        <v>76.352808369294</v>
      </c>
      <c r="U40" s="65">
        <f t="shared" si="6"/>
        <v>83.98808920622339</v>
      </c>
      <c r="V40" s="65">
        <f t="shared" si="6"/>
        <v>91.62337004315279</v>
      </c>
      <c r="W40" s="65">
        <f t="shared" si="6"/>
        <v>61.08224669543519</v>
      </c>
    </row>
    <row r="41" spans="4:23" ht="12.75">
      <c r="D41" s="5">
        <v>90</v>
      </c>
      <c r="E41" s="5" t="s">
        <v>0</v>
      </c>
      <c r="F41" s="1">
        <f t="shared" si="0"/>
        <v>19.963625859832387</v>
      </c>
      <c r="G41" s="1">
        <f t="shared" si="1"/>
        <v>6.188608035269695</v>
      </c>
      <c r="H41" s="32">
        <f t="shared" si="7"/>
        <v>2.8811820723287678</v>
      </c>
      <c r="I41" s="1">
        <f>D41/D$27</f>
        <v>7.5</v>
      </c>
      <c r="J41" s="1">
        <f t="shared" si="10"/>
        <v>0.873447204968944</v>
      </c>
      <c r="K41" s="32">
        <f t="shared" si="3"/>
        <v>4.827114267510362</v>
      </c>
      <c r="L41" s="82">
        <f>'Pipe Loss Regression'!F30</f>
        <v>2.990622909600831</v>
      </c>
      <c r="M41" s="32">
        <f t="shared" si="8"/>
        <v>3.1491259238096747</v>
      </c>
      <c r="O41" s="32">
        <f>J41+(1-$D$19)*(G41-J41)</f>
        <v>2.202237412544132</v>
      </c>
      <c r="P41" s="6">
        <f t="shared" si="9"/>
        <v>73.79034032380704</v>
      </c>
      <c r="Q41" s="6">
        <f>$D$20*P41*D41*0.0846</f>
        <v>434.89760042758485</v>
      </c>
      <c r="R41" s="64">
        <f t="shared" si="11"/>
        <v>3.8097029797456434</v>
      </c>
      <c r="S41" s="65">
        <f t="shared" si="6"/>
        <v>76.35280836929398</v>
      </c>
      <c r="T41" s="65">
        <f t="shared" si="6"/>
        <v>84.83645374365997</v>
      </c>
      <c r="U41" s="65">
        <f t="shared" si="6"/>
        <v>93.32009911802598</v>
      </c>
      <c r="V41" s="65">
        <f t="shared" si="6"/>
        <v>101.80374449239197</v>
      </c>
      <c r="W41" s="65">
        <f t="shared" si="6"/>
        <v>67.86916299492798</v>
      </c>
    </row>
    <row r="42" spans="4:23" ht="12.75">
      <c r="D42" s="5">
        <v>80</v>
      </c>
      <c r="E42" s="5" t="s">
        <v>0</v>
      </c>
      <c r="F42" s="1">
        <f t="shared" si="0"/>
        <v>17.7454452087399</v>
      </c>
      <c r="G42" s="1">
        <f t="shared" si="1"/>
        <v>4.889764373546425</v>
      </c>
      <c r="H42" s="32">
        <f t="shared" si="7"/>
        <v>2.2764895386301376</v>
      </c>
      <c r="I42" s="1">
        <f>D42/D$27</f>
        <v>6.666666666666667</v>
      </c>
      <c r="J42" s="1">
        <f t="shared" si="10"/>
        <v>0.6901311249137336</v>
      </c>
      <c r="K42" s="32">
        <f t="shared" si="3"/>
        <v>3.8140162113662117</v>
      </c>
      <c r="L42" s="82">
        <f>'Pipe Loss Regression'!F31</f>
        <v>2.362961311289545</v>
      </c>
      <c r="M42" s="32">
        <f t="shared" si="8"/>
        <v>2.4881982607878905</v>
      </c>
      <c r="O42" s="32">
        <f>J42+(1-$D$19)*(G42-J42)</f>
        <v>1.7400394370719066</v>
      </c>
      <c r="P42" s="6">
        <f t="shared" si="9"/>
        <v>76.53125655214386</v>
      </c>
      <c r="Q42" s="6">
        <f>$D$20*P42*D42*0.0846</f>
        <v>400.9348611356207</v>
      </c>
      <c r="R42" s="64">
        <f t="shared" si="11"/>
        <v>3.512189383548037</v>
      </c>
      <c r="S42" s="65">
        <f t="shared" si="6"/>
        <v>85.89690941545572</v>
      </c>
      <c r="T42" s="65">
        <f t="shared" si="6"/>
        <v>95.44101046161748</v>
      </c>
      <c r="U42" s="65">
        <f t="shared" si="6"/>
        <v>104.98511150777922</v>
      </c>
      <c r="V42" s="65">
        <f t="shared" si="6"/>
        <v>114.52921255394097</v>
      </c>
      <c r="W42" s="65">
        <f t="shared" si="6"/>
        <v>76.35280836929398</v>
      </c>
    </row>
    <row r="43" spans="4:23" ht="12.75">
      <c r="D43" s="5">
        <v>70</v>
      </c>
      <c r="E43" s="5" t="s">
        <v>0</v>
      </c>
      <c r="F43" s="1">
        <f t="shared" si="0"/>
        <v>15.527264557647413</v>
      </c>
      <c r="G43" s="1">
        <f t="shared" si="1"/>
        <v>3.743725848496483</v>
      </c>
      <c r="H43" s="32">
        <f t="shared" si="7"/>
        <v>1.742937303013699</v>
      </c>
      <c r="I43" s="1">
        <f>D43/D$27</f>
        <v>5.833333333333333</v>
      </c>
      <c r="J43" s="1">
        <f t="shared" si="10"/>
        <v>0.5283816425120772</v>
      </c>
      <c r="K43" s="32">
        <f t="shared" si="3"/>
        <v>2.9201061618272566</v>
      </c>
      <c r="L43" s="82">
        <f>'Pipe Loss Regression'!F32</f>
        <v>1.8091422539560584</v>
      </c>
      <c r="M43" s="32">
        <f t="shared" si="8"/>
        <v>1.9050267934157294</v>
      </c>
      <c r="O43" s="32">
        <f>J43+(1-$D$19)*(G43-J43)</f>
        <v>1.3322176940081785</v>
      </c>
      <c r="P43" s="6">
        <f t="shared" si="9"/>
        <v>78.94971204773512</v>
      </c>
      <c r="Q43" s="6">
        <f>$D$20*P43*D43*0.0846</f>
        <v>361.90416314562077</v>
      </c>
      <c r="R43" s="64">
        <f t="shared" si="11"/>
        <v>3.170280469155638</v>
      </c>
      <c r="S43" s="65">
        <f t="shared" si="6"/>
        <v>98.16789647480655</v>
      </c>
      <c r="T43" s="65">
        <f t="shared" si="6"/>
        <v>109.07544052756283</v>
      </c>
      <c r="U43" s="65">
        <f t="shared" si="6"/>
        <v>119.98298458031911</v>
      </c>
      <c r="V43" s="65">
        <f t="shared" si="6"/>
        <v>130.8905286330754</v>
      </c>
      <c r="W43" s="65">
        <f t="shared" si="6"/>
        <v>87.26035242205026</v>
      </c>
    </row>
    <row r="44" spans="4:16" ht="12.75">
      <c r="D44" s="26"/>
      <c r="E44" s="26"/>
      <c r="P44" s="19"/>
    </row>
    <row r="45" spans="11:16" ht="12.75">
      <c r="K45" s="31"/>
      <c r="P45" s="19"/>
    </row>
    <row r="46" spans="2:16" s="53" customFormat="1" ht="12.75">
      <c r="B46" s="53" t="s">
        <v>79</v>
      </c>
      <c r="P46" s="54"/>
    </row>
    <row r="48" spans="14:17" ht="12.75">
      <c r="N48" s="3" t="s">
        <v>84</v>
      </c>
      <c r="O48" s="3"/>
      <c r="P48" s="3"/>
      <c r="Q48" s="3"/>
    </row>
    <row r="49" spans="4:18" ht="18">
      <c r="D49" s="43"/>
      <c r="G49" s="43" t="s">
        <v>80</v>
      </c>
      <c r="N49" s="49">
        <v>2202</v>
      </c>
      <c r="O49" s="3" t="s">
        <v>83</v>
      </c>
      <c r="P49" s="3"/>
      <c r="Q49" s="3">
        <v>2202</v>
      </c>
      <c r="R49" t="s">
        <v>88</v>
      </c>
    </row>
    <row r="50" spans="2:18" ht="15">
      <c r="B50" t="s">
        <v>78</v>
      </c>
      <c r="D50">
        <f>N52</f>
        <v>47.75</v>
      </c>
      <c r="E50" t="s">
        <v>89</v>
      </c>
      <c r="I50" s="45" t="s">
        <v>81</v>
      </c>
      <c r="N50">
        <v>1.5</v>
      </c>
      <c r="O50" t="s">
        <v>129</v>
      </c>
      <c r="Q50" s="49">
        <v>2113.25</v>
      </c>
      <c r="R50" t="s">
        <v>87</v>
      </c>
    </row>
    <row r="51" spans="2:18" ht="15">
      <c r="B51" t="s">
        <v>97</v>
      </c>
      <c r="D51">
        <v>1.375</v>
      </c>
      <c r="E51" t="s">
        <v>153</v>
      </c>
      <c r="I51" s="45"/>
      <c r="N51" s="49">
        <v>2152.75</v>
      </c>
      <c r="O51" s="3" t="s">
        <v>136</v>
      </c>
      <c r="P51" s="3"/>
      <c r="Q51" s="3">
        <f>Q49-Q50</f>
        <v>88.75</v>
      </c>
      <c r="R51" t="s">
        <v>86</v>
      </c>
    </row>
    <row r="52" spans="9:17" ht="15">
      <c r="I52" s="45"/>
      <c r="N52" s="3">
        <f>N49-N50-N51</f>
        <v>47.75</v>
      </c>
      <c r="O52" s="3" t="s">
        <v>99</v>
      </c>
      <c r="P52" s="3"/>
      <c r="Q52" s="3"/>
    </row>
    <row r="53" spans="2:17" ht="12.75">
      <c r="B53" t="s">
        <v>76</v>
      </c>
      <c r="D53" s="47">
        <v>0.57</v>
      </c>
      <c r="E53" t="s">
        <v>12</v>
      </c>
      <c r="F53" t="s">
        <v>159</v>
      </c>
      <c r="I53" s="37"/>
      <c r="N53" s="3"/>
      <c r="O53" s="3"/>
      <c r="P53" s="3"/>
      <c r="Q53" s="3"/>
    </row>
    <row r="54" spans="2:17" ht="12.75">
      <c r="B54" t="s">
        <v>62</v>
      </c>
      <c r="D54">
        <v>0.18</v>
      </c>
      <c r="E54" t="s">
        <v>12</v>
      </c>
      <c r="F54" t="s">
        <v>157</v>
      </c>
      <c r="N54" s="3"/>
      <c r="O54" s="3"/>
      <c r="P54" s="3"/>
      <c r="Q54" s="3"/>
    </row>
    <row r="55" spans="2:17" ht="12.75">
      <c r="B55" s="3" t="s">
        <v>20</v>
      </c>
      <c r="C55" s="3"/>
      <c r="D55" s="3">
        <f>SUM(D53,D54*2)</f>
        <v>0.9299999999999999</v>
      </c>
      <c r="E55" s="3" t="s">
        <v>74</v>
      </c>
      <c r="F55" t="s">
        <v>90</v>
      </c>
      <c r="I55" s="37"/>
      <c r="N55" s="3"/>
      <c r="O55" s="3"/>
      <c r="P55" s="3"/>
      <c r="Q55" s="3"/>
    </row>
    <row r="56" spans="14:17" ht="12.75">
      <c r="N56" s="49">
        <v>2113.25</v>
      </c>
      <c r="O56" s="3" t="s">
        <v>85</v>
      </c>
      <c r="P56" s="3"/>
      <c r="Q56" s="3"/>
    </row>
    <row r="57" spans="2:17" ht="12.75">
      <c r="B57" t="s">
        <v>56</v>
      </c>
      <c r="D57">
        <v>50000</v>
      </c>
      <c r="E57" t="s">
        <v>57</v>
      </c>
      <c r="F57" t="s">
        <v>156</v>
      </c>
      <c r="N57" s="3">
        <f>N51-N56</f>
        <v>39.5</v>
      </c>
      <c r="O57" s="3" t="s">
        <v>143</v>
      </c>
      <c r="P57" s="3"/>
      <c r="Q57" s="3"/>
    </row>
    <row r="58" spans="4:9" ht="12.75">
      <c r="D58">
        <v>73426</v>
      </c>
      <c r="E58" t="s">
        <v>154</v>
      </c>
      <c r="F58" t="s">
        <v>155</v>
      </c>
      <c r="I58" t="s">
        <v>138</v>
      </c>
    </row>
    <row r="60" spans="2:12" ht="12.75">
      <c r="B60" s="3" t="s">
        <v>19</v>
      </c>
      <c r="C60" s="3"/>
      <c r="D60" s="4">
        <f>((D3-1.25)/24)^2*PI()</f>
        <v>4.508199093286135</v>
      </c>
      <c r="E60" s="3" t="s">
        <v>7</v>
      </c>
      <c r="F60" t="s">
        <v>103</v>
      </c>
      <c r="L60" s="48"/>
    </row>
    <row r="61" spans="2:12" ht="12.75">
      <c r="B61" t="s">
        <v>98</v>
      </c>
      <c r="D61">
        <v>73</v>
      </c>
      <c r="E61" t="s">
        <v>24</v>
      </c>
      <c r="L61" s="2" t="s">
        <v>21</v>
      </c>
    </row>
    <row r="62" ht="12.75">
      <c r="L62" s="2" t="s">
        <v>53</v>
      </c>
    </row>
    <row r="63" spans="8:12" ht="12.75">
      <c r="H63" t="s">
        <v>1</v>
      </c>
      <c r="I63" t="s">
        <v>1</v>
      </c>
      <c r="L63" t="s">
        <v>132</v>
      </c>
    </row>
    <row r="64" spans="6:12" ht="12.75">
      <c r="F64" t="s">
        <v>29</v>
      </c>
      <c r="G64" t="s">
        <v>92</v>
      </c>
      <c r="H64" s="33" t="s">
        <v>82</v>
      </c>
      <c r="I64" t="s">
        <v>102</v>
      </c>
      <c r="K64" t="s">
        <v>1</v>
      </c>
      <c r="L64" s="2" t="s">
        <v>130</v>
      </c>
    </row>
    <row r="65" spans="6:18" s="46" customFormat="1" ht="48.75" customHeight="1">
      <c r="F65" s="46" t="s">
        <v>38</v>
      </c>
      <c r="G65" s="46" t="s">
        <v>23</v>
      </c>
      <c r="H65" s="46" t="s">
        <v>139</v>
      </c>
      <c r="I65" s="46" t="s">
        <v>158</v>
      </c>
      <c r="J65" s="60"/>
      <c r="K65" s="46" t="s">
        <v>140</v>
      </c>
      <c r="L65" s="2" t="s">
        <v>131</v>
      </c>
      <c r="M65" s="52" t="s">
        <v>128</v>
      </c>
      <c r="O65" s="46" t="s">
        <v>101</v>
      </c>
      <c r="P65" s="46" t="s">
        <v>100</v>
      </c>
      <c r="Q65" s="46" t="s">
        <v>35</v>
      </c>
      <c r="R65" s="46" t="s">
        <v>141</v>
      </c>
    </row>
    <row r="66" spans="4:17" ht="12.75">
      <c r="D66" t="s">
        <v>77</v>
      </c>
      <c r="F66" t="s">
        <v>8</v>
      </c>
      <c r="G66" t="s">
        <v>24</v>
      </c>
      <c r="H66" s="33" t="s">
        <v>24</v>
      </c>
      <c r="I66" t="s">
        <v>24</v>
      </c>
      <c r="J66" s="1"/>
      <c r="K66" t="s">
        <v>3</v>
      </c>
      <c r="L66" s="2" t="s">
        <v>3</v>
      </c>
      <c r="M66" s="2" t="s">
        <v>137</v>
      </c>
      <c r="P66" t="s">
        <v>24</v>
      </c>
      <c r="Q66" s="2" t="s">
        <v>3</v>
      </c>
    </row>
    <row r="67" spans="4:18" ht="12.75">
      <c r="D67" s="5">
        <v>180</v>
      </c>
      <c r="E67" s="5" t="s">
        <v>91</v>
      </c>
      <c r="F67" s="1">
        <f aca="true" t="shared" si="12" ref="F67:F79">D67/D$60</f>
        <v>39.927251719664774</v>
      </c>
      <c r="G67" s="1">
        <f>F67^2/64.4</f>
        <v>24.75443214107878</v>
      </c>
      <c r="H67" s="48">
        <f aca="true" t="shared" si="13" ref="H67:H79">2*((D67*449/$D$57)^2)*2.2</f>
        <v>11.496095424000002</v>
      </c>
      <c r="I67" s="32">
        <f>2*0.25*G67</f>
        <v>12.37721607053939</v>
      </c>
      <c r="J67" s="1"/>
      <c r="K67" s="32">
        <f>G67*$D$55</f>
        <v>23.021621891203264</v>
      </c>
      <c r="L67" s="1">
        <f>'Pipe Loss Regression'!F20</f>
        <v>11.962491638403325</v>
      </c>
      <c r="M67" s="32">
        <f aca="true" t="shared" si="14" ref="M67:M79">$D$61*L67/100*1.17</f>
        <v>10.21716410836028</v>
      </c>
      <c r="O67" s="1">
        <f aca="true" t="shared" si="15" ref="O67:O79">D$51+H67+K67+M67</f>
        <v>46.10988142356354</v>
      </c>
      <c r="P67" s="44">
        <f>$D$50-O67</f>
        <v>1.640118576436457</v>
      </c>
      <c r="Q67" s="32">
        <f aca="true" t="shared" si="16" ref="Q67:Q79">G67</f>
        <v>24.75443214107878</v>
      </c>
      <c r="R67" s="1">
        <f>P67-Q67</f>
        <v>-23.114313564642323</v>
      </c>
    </row>
    <row r="68" spans="4:18" s="55" customFormat="1" ht="12.75">
      <c r="D68" s="56">
        <v>170</v>
      </c>
      <c r="E68" s="56" t="s">
        <v>0</v>
      </c>
      <c r="F68" s="57">
        <f t="shared" si="12"/>
        <v>37.709071068572285</v>
      </c>
      <c r="G68" s="57">
        <f aca="true" t="shared" si="17" ref="G68:G79">F68^2/64.4</f>
        <v>22.08034224929558</v>
      </c>
      <c r="H68" s="58">
        <f t="shared" si="13"/>
        <v>10.254233264000002</v>
      </c>
      <c r="I68" s="57">
        <f aca="true" t="shared" si="18" ref="I68:I76">2*0.25*G68</f>
        <v>11.04017112464779</v>
      </c>
      <c r="J68" s="1"/>
      <c r="K68" s="32">
        <f aca="true" t="shared" si="19" ref="K68:K76">G68*$D$55</f>
        <v>20.53471829184489</v>
      </c>
      <c r="L68" s="1">
        <f>'Pipe Loss Regression'!F21</f>
        <v>10.670247171291853</v>
      </c>
      <c r="M68" s="32">
        <f t="shared" si="14"/>
        <v>9.113458109000371</v>
      </c>
      <c r="O68" s="57">
        <f t="shared" si="15"/>
        <v>41.27740966484526</v>
      </c>
      <c r="P68" s="59">
        <f aca="true" t="shared" si="20" ref="P68:P79">$D$50-O68</f>
        <v>6.472590335154742</v>
      </c>
      <c r="Q68" s="57">
        <f t="shared" si="16"/>
        <v>22.08034224929558</v>
      </c>
      <c r="R68" s="57">
        <f aca="true" t="shared" si="21" ref="R68:R79">P68-Q68</f>
        <v>-15.607751914140838</v>
      </c>
    </row>
    <row r="69" spans="4:18" s="55" customFormat="1" ht="12.75">
      <c r="D69" s="56">
        <v>160</v>
      </c>
      <c r="E69" s="56" t="s">
        <v>0</v>
      </c>
      <c r="F69" s="57">
        <f t="shared" si="12"/>
        <v>35.4908904174798</v>
      </c>
      <c r="G69" s="57">
        <f t="shared" si="17"/>
        <v>19.5590574941857</v>
      </c>
      <c r="H69" s="58">
        <f t="shared" si="13"/>
        <v>9.083334656000002</v>
      </c>
      <c r="I69" s="57">
        <f t="shared" si="18"/>
        <v>9.77952874709285</v>
      </c>
      <c r="J69" s="1"/>
      <c r="K69" s="32">
        <f t="shared" si="19"/>
        <v>18.189923469592703</v>
      </c>
      <c r="L69" s="1">
        <f>'Pipe Loss Regression'!F22</f>
        <v>9.45184524515818</v>
      </c>
      <c r="M69" s="32">
        <f t="shared" si="14"/>
        <v>8.072821023889603</v>
      </c>
      <c r="O69" s="57">
        <f t="shared" si="15"/>
        <v>36.72107914948231</v>
      </c>
      <c r="P69" s="59">
        <f t="shared" si="20"/>
        <v>11.028920850517693</v>
      </c>
      <c r="Q69" s="57">
        <f t="shared" si="16"/>
        <v>19.5590574941857</v>
      </c>
      <c r="R69" s="57">
        <f t="shared" si="21"/>
        <v>-8.530136643668008</v>
      </c>
    </row>
    <row r="70" spans="4:18" ht="12.75">
      <c r="D70" s="5">
        <v>150</v>
      </c>
      <c r="E70" s="5" t="s">
        <v>66</v>
      </c>
      <c r="F70" s="1">
        <f t="shared" si="12"/>
        <v>33.272709766387315</v>
      </c>
      <c r="G70" s="19">
        <f t="shared" si="17"/>
        <v>17.190577875749156</v>
      </c>
      <c r="H70" s="48">
        <f t="shared" si="13"/>
        <v>7.9833996</v>
      </c>
      <c r="I70" s="32">
        <f t="shared" si="18"/>
        <v>8.595288937874578</v>
      </c>
      <c r="J70" s="1"/>
      <c r="K70" s="32">
        <f t="shared" si="19"/>
        <v>15.987237424446715</v>
      </c>
      <c r="L70" s="1">
        <f>'Pipe Loss Regression'!F23</f>
        <v>8.30728586000231</v>
      </c>
      <c r="M70" s="32">
        <f t="shared" si="14"/>
        <v>7.095252853027973</v>
      </c>
      <c r="O70" s="1">
        <f t="shared" si="15"/>
        <v>32.44088987747469</v>
      </c>
      <c r="P70" s="44">
        <f t="shared" si="20"/>
        <v>15.309110122525311</v>
      </c>
      <c r="Q70" s="32">
        <f t="shared" si="16"/>
        <v>17.190577875749156</v>
      </c>
      <c r="R70" s="1">
        <f t="shared" si="21"/>
        <v>-1.8814677532238449</v>
      </c>
    </row>
    <row r="71" spans="4:19" s="2" customFormat="1" ht="12.75">
      <c r="D71" s="2">
        <v>144</v>
      </c>
      <c r="E71" s="2" t="s">
        <v>91</v>
      </c>
      <c r="F71" s="51">
        <f t="shared" si="12"/>
        <v>31.94180137573182</v>
      </c>
      <c r="G71" s="74">
        <f t="shared" si="17"/>
        <v>15.842836570290421</v>
      </c>
      <c r="H71" s="48">
        <f t="shared" si="13"/>
        <v>7.357501071360001</v>
      </c>
      <c r="I71" s="48">
        <f>2*0.25*G71</f>
        <v>7.921418285145211</v>
      </c>
      <c r="J71" s="51"/>
      <c r="K71" s="48">
        <f t="shared" si="19"/>
        <v>14.733838010370091</v>
      </c>
      <c r="L71" s="51">
        <f>'Pipe Loss Regression'!F24</f>
        <v>7.655994648578128</v>
      </c>
      <c r="M71" s="48">
        <f t="shared" si="14"/>
        <v>6.538985029350579</v>
      </c>
      <c r="O71" s="51">
        <f t="shared" si="15"/>
        <v>30.005324111080668</v>
      </c>
      <c r="P71" s="51">
        <f t="shared" si="20"/>
        <v>17.744675888919332</v>
      </c>
      <c r="Q71" s="48">
        <f t="shared" si="16"/>
        <v>15.842836570290421</v>
      </c>
      <c r="R71" s="51">
        <f t="shared" si="21"/>
        <v>1.9018393186289106</v>
      </c>
      <c r="S71" s="2" t="s">
        <v>152</v>
      </c>
    </row>
    <row r="72" spans="4:18" ht="12.75">
      <c r="D72" s="5">
        <v>140</v>
      </c>
      <c r="E72" s="5" t="s">
        <v>0</v>
      </c>
      <c r="F72" s="1">
        <f t="shared" si="12"/>
        <v>31.054529115294827</v>
      </c>
      <c r="G72" s="19">
        <f t="shared" si="17"/>
        <v>14.974903393985931</v>
      </c>
      <c r="H72" s="48">
        <f t="shared" si="13"/>
        <v>6.954428096000002</v>
      </c>
      <c r="I72" s="32">
        <f t="shared" si="18"/>
        <v>7.487451696992966</v>
      </c>
      <c r="J72" s="1"/>
      <c r="K72" s="32">
        <f t="shared" si="19"/>
        <v>13.926660156406916</v>
      </c>
      <c r="L72" s="1">
        <f>'Pipe Loss Regression'!F25</f>
        <v>7.236569015824234</v>
      </c>
      <c r="M72" s="32">
        <f t="shared" si="14"/>
        <v>6.180753596415477</v>
      </c>
      <c r="O72" s="1">
        <f t="shared" si="15"/>
        <v>28.436841848822397</v>
      </c>
      <c r="P72" s="44">
        <f t="shared" si="20"/>
        <v>19.313158151177603</v>
      </c>
      <c r="Q72" s="32">
        <f t="shared" si="16"/>
        <v>14.974903393985931</v>
      </c>
      <c r="R72" s="1">
        <f t="shared" si="21"/>
        <v>4.338254757191672</v>
      </c>
    </row>
    <row r="73" spans="4:18" ht="12.75">
      <c r="D73" s="5">
        <v>130</v>
      </c>
      <c r="E73" s="5" t="s">
        <v>0</v>
      </c>
      <c r="F73" s="1">
        <f t="shared" si="12"/>
        <v>28.836348464202338</v>
      </c>
      <c r="G73" s="1">
        <f t="shared" si="17"/>
        <v>12.912034048896032</v>
      </c>
      <c r="H73" s="48">
        <f t="shared" si="13"/>
        <v>5.996420144000001</v>
      </c>
      <c r="I73" s="32">
        <f t="shared" si="18"/>
        <v>6.456017024448016</v>
      </c>
      <c r="J73" s="1"/>
      <c r="K73" s="32">
        <f t="shared" si="19"/>
        <v>12.008191665473309</v>
      </c>
      <c r="L73" s="1">
        <f>'Pipe Loss Regression'!F26</f>
        <v>6.239694712623956</v>
      </c>
      <c r="M73" s="32">
        <f t="shared" si="14"/>
        <v>5.329323254052121</v>
      </c>
      <c r="O73" s="1">
        <f t="shared" si="15"/>
        <v>24.70893506352543</v>
      </c>
      <c r="P73" s="44">
        <f t="shared" si="20"/>
        <v>23.04106493647457</v>
      </c>
      <c r="Q73" s="32">
        <f t="shared" si="16"/>
        <v>12.912034048896032</v>
      </c>
      <c r="R73" s="1">
        <f t="shared" si="21"/>
        <v>10.129030887578537</v>
      </c>
    </row>
    <row r="74" spans="4:18" ht="12.75">
      <c r="D74" s="5">
        <v>120</v>
      </c>
      <c r="E74" s="5" t="s">
        <v>0</v>
      </c>
      <c r="F74" s="1">
        <f t="shared" si="12"/>
        <v>26.61816781310985</v>
      </c>
      <c r="G74" s="1">
        <f t="shared" si="17"/>
        <v>11.00196984047946</v>
      </c>
      <c r="H74" s="48">
        <f t="shared" si="13"/>
        <v>5.1093757439999985</v>
      </c>
      <c r="I74" s="32">
        <f t="shared" si="18"/>
        <v>5.50098492023973</v>
      </c>
      <c r="J74" s="1"/>
      <c r="K74" s="32">
        <f t="shared" si="19"/>
        <v>10.231831951645896</v>
      </c>
      <c r="L74" s="1">
        <f>'Pipe Loss Regression'!F27</f>
        <v>5.3166629504014775</v>
      </c>
      <c r="M74" s="32">
        <f t="shared" si="14"/>
        <v>4.540961825937901</v>
      </c>
      <c r="O74" s="1">
        <f t="shared" si="15"/>
        <v>21.257169521583798</v>
      </c>
      <c r="P74" s="44">
        <f t="shared" si="20"/>
        <v>26.492830478416202</v>
      </c>
      <c r="Q74" s="32">
        <f t="shared" si="16"/>
        <v>11.00196984047946</v>
      </c>
      <c r="R74" s="1">
        <f t="shared" si="21"/>
        <v>15.490860637936743</v>
      </c>
    </row>
    <row r="75" spans="4:18" ht="12.75">
      <c r="D75" s="5">
        <v>110</v>
      </c>
      <c r="E75" s="5" t="s">
        <v>65</v>
      </c>
      <c r="F75" s="1">
        <f t="shared" si="12"/>
        <v>24.399987162017364</v>
      </c>
      <c r="G75" s="1">
        <f t="shared" si="17"/>
        <v>9.244710768736214</v>
      </c>
      <c r="H75" s="48">
        <f t="shared" si="13"/>
        <v>4.293294896000001</v>
      </c>
      <c r="I75" s="32">
        <f t="shared" si="18"/>
        <v>4.622355384368107</v>
      </c>
      <c r="J75" s="1"/>
      <c r="K75" s="32">
        <f t="shared" si="19"/>
        <v>8.597581014924678</v>
      </c>
      <c r="L75" s="1">
        <f>'Pipe Loss Regression'!F28</f>
        <v>4.467473729156798</v>
      </c>
      <c r="M75" s="32">
        <f t="shared" si="14"/>
        <v>3.815669312072821</v>
      </c>
      <c r="O75" s="1">
        <f t="shared" si="15"/>
        <v>18.0815452229975</v>
      </c>
      <c r="P75" s="44">
        <f t="shared" si="20"/>
        <v>29.6684547770025</v>
      </c>
      <c r="Q75" s="32">
        <f t="shared" si="16"/>
        <v>9.244710768736214</v>
      </c>
      <c r="R75" s="1">
        <f t="shared" si="21"/>
        <v>20.423744008266283</v>
      </c>
    </row>
    <row r="76" spans="4:18" ht="12.75">
      <c r="D76" s="5">
        <v>100</v>
      </c>
      <c r="E76" s="5" t="s">
        <v>0</v>
      </c>
      <c r="F76" s="1">
        <f t="shared" si="12"/>
        <v>22.181806510924876</v>
      </c>
      <c r="G76" s="1">
        <f t="shared" si="17"/>
        <v>7.6402568336662915</v>
      </c>
      <c r="H76" s="48">
        <f t="shared" si="13"/>
        <v>3.5481776000000003</v>
      </c>
      <c r="I76" s="32">
        <f t="shared" si="18"/>
        <v>3.8201284168331457</v>
      </c>
      <c r="J76" s="1"/>
      <c r="K76" s="32">
        <f t="shared" si="19"/>
        <v>7.105438855309651</v>
      </c>
      <c r="L76" s="1">
        <f>'Pipe Loss Regression'!F29</f>
        <v>3.6921270488899154</v>
      </c>
      <c r="M76" s="32">
        <f t="shared" si="14"/>
        <v>3.153445712456876</v>
      </c>
      <c r="O76" s="1">
        <f t="shared" si="15"/>
        <v>15.182062167766528</v>
      </c>
      <c r="P76" s="44">
        <f t="shared" si="20"/>
        <v>32.56793783223347</v>
      </c>
      <c r="Q76" s="32">
        <f t="shared" si="16"/>
        <v>7.6402568336662915</v>
      </c>
      <c r="R76" s="1">
        <f t="shared" si="21"/>
        <v>24.927680998567176</v>
      </c>
    </row>
    <row r="77" spans="4:18" ht="12.75">
      <c r="D77" s="5">
        <v>90</v>
      </c>
      <c r="E77" s="5" t="s">
        <v>0</v>
      </c>
      <c r="F77" s="1">
        <f t="shared" si="12"/>
        <v>19.963625859832387</v>
      </c>
      <c r="G77" s="1">
        <f t="shared" si="17"/>
        <v>6.188608035269695</v>
      </c>
      <c r="H77" s="48">
        <f t="shared" si="13"/>
        <v>2.8740238560000004</v>
      </c>
      <c r="I77" s="32">
        <f>2*0.25*G77</f>
        <v>3.0943040176348475</v>
      </c>
      <c r="J77" s="1"/>
      <c r="K77" s="32">
        <f>G77*$D$55</f>
        <v>5.755405472800816</v>
      </c>
      <c r="L77" s="1">
        <f>'Pipe Loss Regression'!F30</f>
        <v>2.990622909600831</v>
      </c>
      <c r="M77" s="32">
        <f t="shared" si="14"/>
        <v>2.55429102709007</v>
      </c>
      <c r="N77" s="19"/>
      <c r="O77" s="1">
        <f t="shared" si="15"/>
        <v>12.558720355890888</v>
      </c>
      <c r="P77" s="44">
        <f t="shared" si="20"/>
        <v>35.191279644109116</v>
      </c>
      <c r="Q77" s="32">
        <f t="shared" si="16"/>
        <v>6.188608035269695</v>
      </c>
      <c r="R77" s="1">
        <f t="shared" si="21"/>
        <v>29.00267160883942</v>
      </c>
    </row>
    <row r="78" spans="4:18" ht="12.75">
      <c r="D78" s="5">
        <v>80</v>
      </c>
      <c r="E78" s="5" t="s">
        <v>0</v>
      </c>
      <c r="F78" s="1">
        <f t="shared" si="12"/>
        <v>17.7454452087399</v>
      </c>
      <c r="G78" s="1">
        <f t="shared" si="17"/>
        <v>4.889764373546425</v>
      </c>
      <c r="H78" s="48">
        <f t="shared" si="13"/>
        <v>2.2708336640000004</v>
      </c>
      <c r="I78" s="32">
        <f>2*0.25*G78</f>
        <v>2.4448821867732127</v>
      </c>
      <c r="J78" s="1"/>
      <c r="K78" s="32">
        <f>G78*$D$55</f>
        <v>4.547480867398176</v>
      </c>
      <c r="L78" s="1">
        <f>'Pipe Loss Regression'!F31</f>
        <v>2.362961311289545</v>
      </c>
      <c r="M78" s="32">
        <f t="shared" si="14"/>
        <v>2.0182052559724006</v>
      </c>
      <c r="N78" s="19"/>
      <c r="O78" s="1">
        <f t="shared" si="15"/>
        <v>10.211519787370577</v>
      </c>
      <c r="P78" s="44">
        <f t="shared" si="20"/>
        <v>37.53848021262942</v>
      </c>
      <c r="Q78" s="32">
        <f t="shared" si="16"/>
        <v>4.889764373546425</v>
      </c>
      <c r="R78" s="1">
        <f t="shared" si="21"/>
        <v>32.648715839082996</v>
      </c>
    </row>
    <row r="79" spans="4:18" ht="12.75">
      <c r="D79" s="5">
        <v>70</v>
      </c>
      <c r="E79" s="5" t="s">
        <v>0</v>
      </c>
      <c r="F79" s="1">
        <f t="shared" si="12"/>
        <v>15.527264557647413</v>
      </c>
      <c r="G79" s="1">
        <f t="shared" si="17"/>
        <v>3.743725848496483</v>
      </c>
      <c r="H79" s="48">
        <f t="shared" si="13"/>
        <v>1.7386070240000004</v>
      </c>
      <c r="I79" s="32">
        <f>2*0.25*G79</f>
        <v>1.8718629242482414</v>
      </c>
      <c r="J79" s="1"/>
      <c r="K79" s="32">
        <f>G79*$D$55</f>
        <v>3.481665039101729</v>
      </c>
      <c r="L79" s="1">
        <f>'Pipe Loss Regression'!F32</f>
        <v>1.8091422539560584</v>
      </c>
      <c r="M79" s="32">
        <f t="shared" si="14"/>
        <v>1.5451883991038693</v>
      </c>
      <c r="N79" s="19"/>
      <c r="O79" s="1">
        <f t="shared" si="15"/>
        <v>8.1404604622056</v>
      </c>
      <c r="P79" s="44">
        <f t="shared" si="20"/>
        <v>39.609539537794404</v>
      </c>
      <c r="Q79" s="32">
        <f t="shared" si="16"/>
        <v>3.743725848496483</v>
      </c>
      <c r="R79" s="1">
        <f t="shared" si="21"/>
        <v>35.86581368929792</v>
      </c>
    </row>
    <row r="80" spans="8:16" ht="12.75">
      <c r="H80" t="s">
        <v>171</v>
      </c>
      <c r="I80" t="s">
        <v>171</v>
      </c>
      <c r="K80" s="31"/>
      <c r="L80" t="s">
        <v>1</v>
      </c>
      <c r="P80" s="19"/>
    </row>
    <row r="81" spans="12:16" ht="12.75">
      <c r="L81" t="s">
        <v>1</v>
      </c>
      <c r="P81" s="19"/>
    </row>
    <row r="82" ht="12.75">
      <c r="I82" t="s">
        <v>94</v>
      </c>
    </row>
    <row r="83" ht="12.75">
      <c r="I83" t="s">
        <v>95</v>
      </c>
    </row>
    <row r="84" ht="12.75">
      <c r="I84" t="s">
        <v>96</v>
      </c>
    </row>
  </sheetData>
  <printOptions/>
  <pageMargins left="0.75" right="0.75" top="1" bottom="1" header="0.5" footer="0.5"/>
  <pageSetup fitToHeight="1" fitToWidth="1" horizontalDpi="600" verticalDpi="600" orientation="landscape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6:G14"/>
  <sheetViews>
    <sheetView workbookViewId="0" topLeftCell="A1">
      <selection activeCell="E26" sqref="E26"/>
    </sheetView>
  </sheetViews>
  <sheetFormatPr defaultColWidth="9.140625" defaultRowHeight="12.75"/>
  <cols>
    <col min="2" max="2" width="15.00390625" style="0" customWidth="1"/>
    <col min="7" max="7" width="15.140625" style="41" bestFit="1" customWidth="1"/>
    <col min="9" max="9" width="12.421875" style="0" bestFit="1" customWidth="1"/>
  </cols>
  <sheetData>
    <row r="5" ht="13.5" thickBot="1"/>
    <row r="6" spans="2:7" ht="12.75">
      <c r="B6" s="67" t="s">
        <v>168</v>
      </c>
      <c r="C6" s="68"/>
      <c r="D6" s="68"/>
      <c r="E6" s="68"/>
      <c r="F6" s="68"/>
      <c r="G6" s="69"/>
    </row>
    <row r="7" spans="2:7" ht="12.75">
      <c r="B7" s="7"/>
      <c r="C7" s="70"/>
      <c r="D7" s="70" t="s">
        <v>75</v>
      </c>
      <c r="E7" s="70" t="s">
        <v>147</v>
      </c>
      <c r="F7" s="70"/>
      <c r="G7" s="71"/>
    </row>
    <row r="8" spans="2:7" ht="12.75">
      <c r="B8" s="7"/>
      <c r="C8" s="70"/>
      <c r="D8" s="70"/>
      <c r="E8" s="70"/>
      <c r="F8" s="70"/>
      <c r="G8" s="71"/>
    </row>
    <row r="9" spans="2:7" ht="12.75">
      <c r="B9" s="7"/>
      <c r="C9" s="70"/>
      <c r="D9" s="70"/>
      <c r="E9" s="70"/>
      <c r="F9" s="70"/>
      <c r="G9" s="71"/>
    </row>
    <row r="10" spans="2:7" ht="12.75">
      <c r="B10" s="7"/>
      <c r="C10" s="70"/>
      <c r="D10" s="70">
        <v>85</v>
      </c>
      <c r="E10" s="70">
        <v>100</v>
      </c>
      <c r="F10" s="70"/>
      <c r="G10" s="71"/>
    </row>
    <row r="11" spans="2:7" ht="12.75">
      <c r="B11" s="7"/>
      <c r="C11" s="70"/>
      <c r="D11" s="70">
        <v>80</v>
      </c>
      <c r="E11" s="70">
        <v>96.5</v>
      </c>
      <c r="F11" s="70"/>
      <c r="G11" s="71"/>
    </row>
    <row r="12" spans="2:7" ht="12.75">
      <c r="B12" s="7"/>
      <c r="C12" s="70"/>
      <c r="D12" s="70">
        <v>78</v>
      </c>
      <c r="E12" s="70">
        <v>94.9</v>
      </c>
      <c r="F12" s="70"/>
      <c r="G12" s="71"/>
    </row>
    <row r="13" spans="2:7" ht="12.75">
      <c r="B13" s="7"/>
      <c r="C13" s="70"/>
      <c r="D13" s="70">
        <v>75</v>
      </c>
      <c r="E13" s="70">
        <v>93</v>
      </c>
      <c r="F13" s="70"/>
      <c r="G13" s="71"/>
    </row>
    <row r="14" spans="2:7" ht="13.5" thickBot="1">
      <c r="B14" s="9"/>
      <c r="C14" s="72"/>
      <c r="D14" s="72">
        <v>70</v>
      </c>
      <c r="E14" s="72">
        <v>90.7</v>
      </c>
      <c r="F14" s="72"/>
      <c r="G14" s="7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Davis Nutrition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</dc:creator>
  <cp:keywords/>
  <dc:description/>
  <cp:lastModifiedBy>Dick</cp:lastModifiedBy>
  <cp:lastPrinted>2005-01-06T05:45:15Z</cp:lastPrinted>
  <dcterms:created xsi:type="dcterms:W3CDTF">2003-02-24T01:36:22Z</dcterms:created>
  <dcterms:modified xsi:type="dcterms:W3CDTF">2005-02-05T10:16:05Z</dcterms:modified>
  <cp:category/>
  <cp:version/>
  <cp:contentType/>
  <cp:contentStatus/>
</cp:coreProperties>
</file>